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21075" windowHeight="9405" firstSheet="3" activeTab="20"/>
  </bookViews>
  <sheets>
    <sheet name="Смета" sheetId="4" r:id="rId1"/>
    <sheet name="КТ" sheetId="1" r:id="rId2"/>
    <sheet name="Справка" sheetId="2" r:id="rId3"/>
    <sheet name="РЭС" sheetId="3" r:id="rId4"/>
    <sheet name="Лист1" sheetId="5" r:id="rId5"/>
    <sheet name="ФГДС" sheetId="6" r:id="rId6"/>
    <sheet name="Консультация" sheetId="7" r:id="rId7"/>
    <sheet name="Кардио" sheetId="8" r:id="rId8"/>
    <sheet name="УЗИ" sheetId="9" r:id="rId9"/>
    <sheet name="рентген" sheetId="10" r:id="rId10"/>
    <sheet name="Лист2" sheetId="11" r:id="rId11"/>
    <sheet name="Лист3" sheetId="12" r:id="rId12"/>
    <sheet name="Лист4" sheetId="13" r:id="rId13"/>
    <sheet name="Лист5" sheetId="14" r:id="rId14"/>
    <sheet name="Лист6" sheetId="15" r:id="rId15"/>
    <sheet name="бикс" sheetId="16" r:id="rId16"/>
    <sheet name="Лист7" sheetId="17" r:id="rId17"/>
    <sheet name="Лист8" sheetId="18" r:id="rId18"/>
    <sheet name="Лист9" sheetId="19" r:id="rId19"/>
    <sheet name="Лист10" sheetId="20" r:id="rId20"/>
    <sheet name="Лист11" sheetId="21" r:id="rId21"/>
  </sheets>
  <definedNames>
    <definedName name="_xlnm.Print_Area" localSheetId="1">КТ!$A$1:$P$47</definedName>
    <definedName name="_xlnm.Print_Area" localSheetId="10">Лист2!$A$1:$C$19</definedName>
    <definedName name="_xlnm.Print_Area" localSheetId="9">рентген!$A$1:$N$98</definedName>
    <definedName name="_xlnm.Print_Area" localSheetId="5">ФГДС!$A$1:$N$42</definedName>
  </definedNames>
  <calcPr calcId="145621"/>
</workbook>
</file>

<file path=xl/calcChain.xml><?xml version="1.0" encoding="utf-8"?>
<calcChain xmlns="http://schemas.openxmlformats.org/spreadsheetml/2006/main">
  <c r="F33" i="20" l="1"/>
  <c r="F22" i="20"/>
  <c r="I15" i="20"/>
  <c r="I14" i="20"/>
  <c r="G14" i="20"/>
  <c r="F23" i="20" l="1"/>
  <c r="C14" i="20" s="1"/>
  <c r="C15" i="20"/>
  <c r="G33" i="20"/>
  <c r="H33" i="20" s="1"/>
  <c r="O33" i="20" s="1"/>
  <c r="P33" i="20" s="1"/>
  <c r="Q33" i="20" s="1"/>
  <c r="S33" i="20" s="1"/>
  <c r="K34" i="19"/>
  <c r="K33" i="19"/>
  <c r="I38" i="19"/>
  <c r="J38" i="19" s="1"/>
  <c r="L38" i="19" s="1"/>
  <c r="G17" i="19" s="1"/>
  <c r="F38" i="19"/>
  <c r="N34" i="19"/>
  <c r="J34" i="19"/>
  <c r="N33" i="19"/>
  <c r="N35" i="19" s="1"/>
  <c r="D17" i="19" s="1"/>
  <c r="J33" i="19"/>
  <c r="F22" i="19"/>
  <c r="F23" i="19" s="1"/>
  <c r="K34" i="18"/>
  <c r="K33" i="18"/>
  <c r="I17" i="18"/>
  <c r="F22" i="18"/>
  <c r="J38" i="18"/>
  <c r="L38" i="18" s="1"/>
  <c r="G17" i="18" s="1"/>
  <c r="I38" i="18"/>
  <c r="S34" i="20" l="1"/>
  <c r="D14" i="20" s="1"/>
  <c r="D15" i="20"/>
  <c r="I17" i="19"/>
  <c r="E17" i="19"/>
  <c r="H17" i="19" s="1"/>
  <c r="J17" i="19" s="1"/>
  <c r="K17" i="19" s="1"/>
  <c r="L17" i="19" s="1"/>
  <c r="J15" i="20" l="1"/>
  <c r="E15" i="20"/>
  <c r="H15" i="20" s="1"/>
  <c r="K15" i="20" s="1"/>
  <c r="J14" i="20"/>
  <c r="E14" i="20"/>
  <c r="H14" i="20" s="1"/>
  <c r="K14" i="20" s="1"/>
  <c r="F38" i="18"/>
  <c r="N34" i="18"/>
  <c r="J34" i="18"/>
  <c r="N33" i="18"/>
  <c r="J33" i="18"/>
  <c r="F23" i="18"/>
  <c r="F39" i="17"/>
  <c r="H39" i="17" s="1"/>
  <c r="I39" i="17" s="1"/>
  <c r="J39" i="17" s="1"/>
  <c r="L39" i="17" s="1"/>
  <c r="G14" i="17" s="1"/>
  <c r="J35" i="17"/>
  <c r="F35" i="17"/>
  <c r="G35" i="17" s="1"/>
  <c r="J34" i="17"/>
  <c r="F34" i="17"/>
  <c r="G34" i="17" s="1"/>
  <c r="J33" i="17"/>
  <c r="F33" i="17"/>
  <c r="G33" i="17" s="1"/>
  <c r="J32" i="17"/>
  <c r="F32" i="17"/>
  <c r="G32" i="17" s="1"/>
  <c r="J31" i="17"/>
  <c r="F31" i="17"/>
  <c r="G31" i="17" s="1"/>
  <c r="J30" i="17"/>
  <c r="F30" i="17"/>
  <c r="G30" i="17" s="1"/>
  <c r="J29" i="17"/>
  <c r="F29" i="17"/>
  <c r="G29" i="17" s="1"/>
  <c r="F18" i="17"/>
  <c r="C14" i="17" s="1"/>
  <c r="I14" i="17"/>
  <c r="L15" i="20" l="1"/>
  <c r="M15" i="20" s="1"/>
  <c r="L14" i="20"/>
  <c r="M14" i="20" s="1"/>
  <c r="N35" i="18"/>
  <c r="K31" i="17"/>
  <c r="L31" i="17" s="1"/>
  <c r="M31" i="17" s="1"/>
  <c r="O31" i="17" s="1"/>
  <c r="H31" i="17"/>
  <c r="H32" i="17"/>
  <c r="K32" i="17" s="1"/>
  <c r="L32" i="17" s="1"/>
  <c r="M32" i="17" s="1"/>
  <c r="O32" i="17" s="1"/>
  <c r="H34" i="17"/>
  <c r="K34" i="17" s="1"/>
  <c r="L34" i="17" s="1"/>
  <c r="M34" i="17" s="1"/>
  <c r="O34" i="17" s="1"/>
  <c r="H29" i="17"/>
  <c r="K29" i="17" s="1"/>
  <c r="L29" i="17" s="1"/>
  <c r="M29" i="17" s="1"/>
  <c r="O29" i="17" s="1"/>
  <c r="H30" i="17"/>
  <c r="K30" i="17" s="1"/>
  <c r="L30" i="17" s="1"/>
  <c r="M30" i="17" s="1"/>
  <c r="O30" i="17" s="1"/>
  <c r="H33" i="17"/>
  <c r="K33" i="17" s="1"/>
  <c r="L33" i="17" s="1"/>
  <c r="M33" i="17" s="1"/>
  <c r="O33" i="17" s="1"/>
  <c r="H35" i="17"/>
  <c r="K35" i="17" s="1"/>
  <c r="L35" i="17" s="1"/>
  <c r="M35" i="17" s="1"/>
  <c r="O35" i="17" s="1"/>
  <c r="D17" i="18" l="1"/>
  <c r="O36" i="17"/>
  <c r="D14" i="17" s="1"/>
  <c r="I37" i="16"/>
  <c r="E17" i="18" l="1"/>
  <c r="H17" i="18" s="1"/>
  <c r="J17" i="18" s="1"/>
  <c r="K17" i="18" s="1"/>
  <c r="L17" i="18" s="1"/>
  <c r="J14" i="17"/>
  <c r="E14" i="17"/>
  <c r="H14" i="17" s="1"/>
  <c r="K14" i="17" s="1"/>
  <c r="F21" i="16"/>
  <c r="F22" i="16" s="1"/>
  <c r="F37" i="16"/>
  <c r="L37" i="16" s="1"/>
  <c r="F33" i="16"/>
  <c r="F32" i="16"/>
  <c r="L14" i="17" l="1"/>
  <c r="M14" i="17"/>
  <c r="J32" i="16"/>
  <c r="K32" i="16" s="1"/>
  <c r="I16" i="16"/>
  <c r="G16" i="16"/>
  <c r="N32" i="16"/>
  <c r="J33" i="16"/>
  <c r="K33" i="16" s="1"/>
  <c r="K29" i="14"/>
  <c r="H29" i="14"/>
  <c r="N33" i="16" l="1"/>
  <c r="N34" i="16" s="1"/>
  <c r="D16" i="16" s="1"/>
  <c r="F39" i="14"/>
  <c r="H39" i="14" s="1"/>
  <c r="I39" i="14" s="1"/>
  <c r="J39" i="14" s="1"/>
  <c r="L39" i="14" s="1"/>
  <c r="J35" i="14"/>
  <c r="F35" i="14"/>
  <c r="G35" i="14" s="1"/>
  <c r="H35" i="14" s="1"/>
  <c r="K35" i="14" s="1"/>
  <c r="J34" i="14"/>
  <c r="F34" i="14"/>
  <c r="G34" i="14" s="1"/>
  <c r="J33" i="14"/>
  <c r="F33" i="14"/>
  <c r="G33" i="14" s="1"/>
  <c r="J32" i="14"/>
  <c r="F32" i="14"/>
  <c r="J31" i="14"/>
  <c r="F31" i="14"/>
  <c r="G31" i="14" s="1"/>
  <c r="J30" i="14"/>
  <c r="F30" i="14"/>
  <c r="G30" i="14" s="1"/>
  <c r="J29" i="14"/>
  <c r="F29" i="14"/>
  <c r="F18" i="14"/>
  <c r="C14" i="14" s="1"/>
  <c r="I14" i="14"/>
  <c r="E16" i="16" l="1"/>
  <c r="H16" i="16" s="1"/>
  <c r="J16" i="16" s="1"/>
  <c r="H34" i="14"/>
  <c r="K34" i="14" s="1"/>
  <c r="L34" i="14" s="1"/>
  <c r="M34" i="14" s="1"/>
  <c r="O34" i="14" s="1"/>
  <c r="G32" i="14"/>
  <c r="H32" i="14" s="1"/>
  <c r="K32" i="14" s="1"/>
  <c r="L32" i="14" s="1"/>
  <c r="M32" i="14" s="1"/>
  <c r="O32" i="14" s="1"/>
  <c r="H33" i="14"/>
  <c r="K33" i="14" s="1"/>
  <c r="L33" i="14" s="1"/>
  <c r="M33" i="14" s="1"/>
  <c r="O33" i="14" s="1"/>
  <c r="H31" i="14"/>
  <c r="K31" i="14" s="1"/>
  <c r="L31" i="14" s="1"/>
  <c r="M31" i="14" s="1"/>
  <c r="O31" i="14" s="1"/>
  <c r="H30" i="14"/>
  <c r="K30" i="14"/>
  <c r="L29" i="14"/>
  <c r="M29" i="14" s="1"/>
  <c r="O29" i="14" s="1"/>
  <c r="G29" i="14"/>
  <c r="L35" i="14"/>
  <c r="M35" i="14" s="1"/>
  <c r="O35" i="14" s="1"/>
  <c r="L30" i="14"/>
  <c r="M30" i="14" s="1"/>
  <c r="O30" i="14" s="1"/>
  <c r="G14" i="14"/>
  <c r="G17" i="13"/>
  <c r="F26" i="13"/>
  <c r="F25" i="13"/>
  <c r="F24" i="13"/>
  <c r="F23" i="13"/>
  <c r="G18" i="13"/>
  <c r="F38" i="13"/>
  <c r="H37" i="13"/>
  <c r="F37" i="13"/>
  <c r="I37" i="13" s="1"/>
  <c r="K16" i="16" l="1"/>
  <c r="O36" i="14"/>
  <c r="D14" i="14" s="1"/>
  <c r="E14" i="14" s="1"/>
  <c r="H14" i="14" s="1"/>
  <c r="I17" i="13"/>
  <c r="I16" i="13"/>
  <c r="F27" i="13"/>
  <c r="I18" i="13" s="1"/>
  <c r="G16" i="13"/>
  <c r="J37" i="13"/>
  <c r="K37" i="13" s="1"/>
  <c r="L37" i="13" s="1"/>
  <c r="R37" i="13" s="1"/>
  <c r="I38" i="13"/>
  <c r="J38" i="13" s="1"/>
  <c r="K38" i="13" s="1"/>
  <c r="L38" i="13" s="1"/>
  <c r="R38" i="13" s="1"/>
  <c r="R39" i="13" s="1"/>
  <c r="D17" i="13" s="1"/>
  <c r="E17" i="13" s="1"/>
  <c r="H17" i="13" s="1"/>
  <c r="J17" i="13" s="1"/>
  <c r="K17" i="13" s="1"/>
  <c r="N30" i="12"/>
  <c r="F30" i="12"/>
  <c r="G30" i="12"/>
  <c r="F19" i="12"/>
  <c r="C14" i="12" s="1"/>
  <c r="J14" i="14" l="1"/>
  <c r="K14" i="14" s="1"/>
  <c r="L14" i="14" s="1"/>
  <c r="M14" i="14" s="1"/>
  <c r="L17" i="13"/>
  <c r="N37" i="13"/>
  <c r="P37" i="13"/>
  <c r="N38" i="13"/>
  <c r="P38" i="13"/>
  <c r="H30" i="12"/>
  <c r="I30" i="12" s="1"/>
  <c r="J30" i="12" s="1"/>
  <c r="K30" i="12" s="1"/>
  <c r="M30" i="12" s="1"/>
  <c r="F20" i="12"/>
  <c r="F41" i="2"/>
  <c r="H41" i="2"/>
  <c r="F25" i="2"/>
  <c r="F24" i="2"/>
  <c r="F23" i="2"/>
  <c r="N39" i="13" l="1"/>
  <c r="D16" i="13" s="1"/>
  <c r="P39" i="13"/>
  <c r="D18" i="13" s="1"/>
  <c r="L30" i="12"/>
  <c r="P30" i="12" s="1"/>
  <c r="D14" i="12" s="1"/>
  <c r="J14" i="12" s="1"/>
  <c r="I41" i="2"/>
  <c r="J41" i="2" s="1"/>
  <c r="K41" i="2" s="1"/>
  <c r="M41" i="2" s="1"/>
  <c r="P31" i="12" l="1"/>
  <c r="E14" i="12"/>
  <c r="H14" i="12" s="1"/>
  <c r="F42" i="1"/>
  <c r="E18" i="13" l="1"/>
  <c r="H18" i="13" s="1"/>
  <c r="J18" i="13" s="1"/>
  <c r="K18" i="13" s="1"/>
  <c r="E16" i="13"/>
  <c r="H16" i="13" s="1"/>
  <c r="K14" i="12"/>
  <c r="L14" i="12" s="1"/>
  <c r="E20" i="4"/>
  <c r="E21" i="4" s="1"/>
  <c r="L18" i="13" l="1"/>
  <c r="J16" i="13"/>
  <c r="K16" i="13" s="1"/>
  <c r="M14" i="12"/>
  <c r="F37" i="1"/>
  <c r="I37" i="1" s="1"/>
  <c r="H36" i="1"/>
  <c r="F36" i="1"/>
  <c r="I36" i="1" s="1"/>
  <c r="H35" i="1"/>
  <c r="F35" i="1"/>
  <c r="I35" i="1" s="1"/>
  <c r="J35" i="1" s="1"/>
  <c r="K35" i="1" s="1"/>
  <c r="L35" i="1" s="1"/>
  <c r="N35" i="1" s="1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F93" i="10"/>
  <c r="H93" i="10" s="1"/>
  <c r="I93" i="10" s="1"/>
  <c r="J93" i="10" s="1"/>
  <c r="L93" i="10" s="1"/>
  <c r="G72" i="10" s="1"/>
  <c r="F89" i="10"/>
  <c r="I89" i="10" s="1"/>
  <c r="J89" i="10" s="1"/>
  <c r="K89" i="10" s="1"/>
  <c r="L89" i="10" s="1"/>
  <c r="N89" i="10" s="1"/>
  <c r="H88" i="10"/>
  <c r="F88" i="10"/>
  <c r="I88" i="10" s="1"/>
  <c r="H87" i="10"/>
  <c r="F87" i="10"/>
  <c r="I16" i="10"/>
  <c r="F5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56" i="9"/>
  <c r="I56" i="9" s="1"/>
  <c r="J56" i="9" s="1"/>
  <c r="L56" i="9" s="1"/>
  <c r="G35" i="9" s="1"/>
  <c r="F52" i="9"/>
  <c r="I52" i="9" s="1"/>
  <c r="J52" i="9" s="1"/>
  <c r="K52" i="9" s="1"/>
  <c r="L52" i="9" s="1"/>
  <c r="N52" i="9" s="1"/>
  <c r="H51" i="9"/>
  <c r="F51" i="9"/>
  <c r="H50" i="9"/>
  <c r="F50" i="9"/>
  <c r="I50" i="9" s="1"/>
  <c r="J50" i="9" s="1"/>
  <c r="K50" i="9" s="1"/>
  <c r="L50" i="9" s="1"/>
  <c r="N50" i="9" s="1"/>
  <c r="I16" i="9"/>
  <c r="G18" i="8"/>
  <c r="G16" i="8"/>
  <c r="F39" i="8"/>
  <c r="H39" i="8" s="1"/>
  <c r="I39" i="8" s="1"/>
  <c r="J39" i="8" s="1"/>
  <c r="L39" i="8" s="1"/>
  <c r="G17" i="8" s="1"/>
  <c r="F35" i="8"/>
  <c r="I35" i="8" s="1"/>
  <c r="H34" i="8"/>
  <c r="F34" i="8"/>
  <c r="I34" i="8" s="1"/>
  <c r="H33" i="8"/>
  <c r="F33" i="8"/>
  <c r="I33" i="8" s="1"/>
  <c r="I18" i="8"/>
  <c r="I17" i="8"/>
  <c r="I16" i="8"/>
  <c r="F37" i="6"/>
  <c r="H37" i="6" s="1"/>
  <c r="I37" i="6" s="1"/>
  <c r="J37" i="6" s="1"/>
  <c r="L37" i="6" s="1"/>
  <c r="G16" i="6" s="1"/>
  <c r="L16" i="13" l="1"/>
  <c r="G17" i="10"/>
  <c r="G19" i="10"/>
  <c r="G21" i="10"/>
  <c r="G23" i="10"/>
  <c r="G25" i="10"/>
  <c r="G27" i="10"/>
  <c r="G29" i="10"/>
  <c r="G31" i="10"/>
  <c r="G33" i="10"/>
  <c r="G35" i="10"/>
  <c r="G37" i="10"/>
  <c r="G39" i="10"/>
  <c r="G41" i="10"/>
  <c r="G43" i="10"/>
  <c r="G45" i="10"/>
  <c r="G47" i="10"/>
  <c r="G49" i="10"/>
  <c r="G51" i="10"/>
  <c r="G53" i="10"/>
  <c r="G55" i="10"/>
  <c r="G57" i="10"/>
  <c r="G59" i="10"/>
  <c r="G61" i="10"/>
  <c r="G63" i="10"/>
  <c r="G65" i="10"/>
  <c r="G67" i="10"/>
  <c r="G69" i="10"/>
  <c r="G71" i="10"/>
  <c r="G18" i="10"/>
  <c r="G20" i="10"/>
  <c r="G22" i="10"/>
  <c r="G24" i="10"/>
  <c r="G26" i="10"/>
  <c r="G28" i="10"/>
  <c r="G30" i="10"/>
  <c r="G32" i="10"/>
  <c r="G34" i="10"/>
  <c r="G36" i="10"/>
  <c r="G38" i="10"/>
  <c r="G40" i="10"/>
  <c r="G42" i="10"/>
  <c r="G44" i="10"/>
  <c r="G46" i="10"/>
  <c r="G48" i="10"/>
  <c r="G50" i="10"/>
  <c r="G52" i="10"/>
  <c r="G54" i="10"/>
  <c r="G56" i="10"/>
  <c r="G58" i="10"/>
  <c r="G60" i="10"/>
  <c r="G62" i="10"/>
  <c r="G64" i="10"/>
  <c r="G66" i="10"/>
  <c r="G68" i="10"/>
  <c r="G70" i="10"/>
  <c r="J36" i="1"/>
  <c r="K36" i="1" s="1"/>
  <c r="L36" i="1" s="1"/>
  <c r="N36" i="1" s="1"/>
  <c r="J37" i="1"/>
  <c r="K37" i="1" s="1"/>
  <c r="L37" i="1" s="1"/>
  <c r="N37" i="1" s="1"/>
  <c r="J88" i="10"/>
  <c r="K88" i="10" s="1"/>
  <c r="L88" i="10" s="1"/>
  <c r="N88" i="10" s="1"/>
  <c r="G16" i="10"/>
  <c r="I87" i="10"/>
  <c r="J87" i="10" s="1"/>
  <c r="K87" i="10" s="1"/>
  <c r="L87" i="10" s="1"/>
  <c r="N87" i="10" s="1"/>
  <c r="G16" i="9"/>
  <c r="G20" i="9"/>
  <c r="G24" i="9"/>
  <c r="G28" i="9"/>
  <c r="G32" i="9"/>
  <c r="G21" i="9"/>
  <c r="G33" i="9"/>
  <c r="G18" i="9"/>
  <c r="G22" i="9"/>
  <c r="G26" i="9"/>
  <c r="G30" i="9"/>
  <c r="G34" i="9"/>
  <c r="G17" i="9"/>
  <c r="G25" i="9"/>
  <c r="G29" i="9"/>
  <c r="G19" i="9"/>
  <c r="G23" i="9"/>
  <c r="G27" i="9"/>
  <c r="G31" i="9"/>
  <c r="I51" i="9"/>
  <c r="J51" i="9" s="1"/>
  <c r="K51" i="9" s="1"/>
  <c r="L51" i="9" s="1"/>
  <c r="N51" i="9" s="1"/>
  <c r="N53" i="9" s="1"/>
  <c r="J33" i="8"/>
  <c r="K33" i="8" s="1"/>
  <c r="L33" i="8" s="1"/>
  <c r="N33" i="8" s="1"/>
  <c r="J34" i="8"/>
  <c r="K34" i="8" s="1"/>
  <c r="L34" i="8" s="1"/>
  <c r="N34" i="8" s="1"/>
  <c r="J35" i="8"/>
  <c r="K35" i="8" s="1"/>
  <c r="L35" i="8" s="1"/>
  <c r="N35" i="8" s="1"/>
  <c r="H32" i="6"/>
  <c r="H31" i="6"/>
  <c r="N36" i="8" l="1"/>
  <c r="N38" i="1"/>
  <c r="N90" i="10"/>
  <c r="D16" i="10"/>
  <c r="D34" i="9"/>
  <c r="D33" i="9"/>
  <c r="D29" i="9"/>
  <c r="D25" i="9"/>
  <c r="D21" i="9"/>
  <c r="D17" i="9"/>
  <c r="D32" i="9"/>
  <c r="D28" i="9"/>
  <c r="D24" i="9"/>
  <c r="D20" i="9"/>
  <c r="D16" i="9"/>
  <c r="D35" i="9"/>
  <c r="D31" i="9"/>
  <c r="D27" i="9"/>
  <c r="D23" i="9"/>
  <c r="D19" i="9"/>
  <c r="D30" i="9"/>
  <c r="D26" i="9"/>
  <c r="D22" i="9"/>
  <c r="D18" i="9"/>
  <c r="I14" i="5"/>
  <c r="D15" i="1" l="1"/>
  <c r="D14" i="1"/>
  <c r="D18" i="8"/>
  <c r="J18" i="8" s="1"/>
  <c r="D17" i="8"/>
  <c r="D16" i="8"/>
  <c r="D72" i="10"/>
  <c r="D70" i="10"/>
  <c r="D69" i="10"/>
  <c r="D58" i="10"/>
  <c r="D56" i="10"/>
  <c r="D54" i="10"/>
  <c r="D53" i="10"/>
  <c r="D42" i="10"/>
  <c r="D40" i="10"/>
  <c r="D38" i="10"/>
  <c r="D37" i="10"/>
  <c r="D26" i="10"/>
  <c r="D24" i="10"/>
  <c r="D22" i="10"/>
  <c r="D21" i="10"/>
  <c r="D71" i="10"/>
  <c r="D68" i="10"/>
  <c r="D65" i="10"/>
  <c r="D59" i="10"/>
  <c r="D55" i="10"/>
  <c r="D52" i="10"/>
  <c r="D49" i="10"/>
  <c r="D43" i="10"/>
  <c r="D39" i="10"/>
  <c r="D36" i="10"/>
  <c r="D33" i="10"/>
  <c r="D27" i="10"/>
  <c r="D23" i="10"/>
  <c r="D20" i="10"/>
  <c r="D17" i="10"/>
  <c r="D66" i="10"/>
  <c r="D64" i="10"/>
  <c r="D62" i="10"/>
  <c r="D61" i="10"/>
  <c r="D50" i="10"/>
  <c r="D48" i="10"/>
  <c r="D46" i="10"/>
  <c r="D45" i="10"/>
  <c r="D34" i="10"/>
  <c r="D32" i="10"/>
  <c r="D30" i="10"/>
  <c r="D29" i="10"/>
  <c r="D18" i="10"/>
  <c r="D67" i="10"/>
  <c r="D63" i="10"/>
  <c r="D60" i="10"/>
  <c r="D57" i="10"/>
  <c r="D51" i="10"/>
  <c r="D47" i="10"/>
  <c r="D44" i="10"/>
  <c r="D41" i="10"/>
  <c r="D35" i="10"/>
  <c r="D31" i="10"/>
  <c r="D28" i="10"/>
  <c r="D25" i="10"/>
  <c r="D19" i="10"/>
  <c r="J16" i="10"/>
  <c r="E16" i="10"/>
  <c r="H16" i="10" s="1"/>
  <c r="E32" i="9"/>
  <c r="H32" i="9" s="1"/>
  <c r="J32" i="9"/>
  <c r="J18" i="9"/>
  <c r="E18" i="9"/>
  <c r="H18" i="9" s="1"/>
  <c r="J19" i="9"/>
  <c r="E19" i="9"/>
  <c r="H19" i="9" s="1"/>
  <c r="J35" i="9"/>
  <c r="E35" i="9"/>
  <c r="H35" i="9" s="1"/>
  <c r="E28" i="9"/>
  <c r="H28" i="9" s="1"/>
  <c r="K28" i="9" s="1"/>
  <c r="L28" i="9" s="1"/>
  <c r="M28" i="9" s="1"/>
  <c r="J28" i="9"/>
  <c r="E25" i="9"/>
  <c r="H25" i="9" s="1"/>
  <c r="J25" i="9"/>
  <c r="J23" i="9"/>
  <c r="E23" i="9"/>
  <c r="H23" i="9" s="1"/>
  <c r="J22" i="9"/>
  <c r="E22" i="9"/>
  <c r="H22" i="9" s="1"/>
  <c r="E29" i="9"/>
  <c r="H29" i="9" s="1"/>
  <c r="K29" i="9" s="1"/>
  <c r="L29" i="9" s="1"/>
  <c r="J29" i="9"/>
  <c r="J26" i="9"/>
  <c r="E26" i="9"/>
  <c r="H26" i="9" s="1"/>
  <c r="J27" i="9"/>
  <c r="E27" i="9"/>
  <c r="H27" i="9" s="1"/>
  <c r="K27" i="9" s="1"/>
  <c r="L27" i="9" s="1"/>
  <c r="M27" i="9" s="1"/>
  <c r="J20" i="9"/>
  <c r="E20" i="9"/>
  <c r="H20" i="9" s="1"/>
  <c r="E17" i="9"/>
  <c r="H17" i="9" s="1"/>
  <c r="J17" i="9"/>
  <c r="J33" i="9"/>
  <c r="E33" i="9"/>
  <c r="H33" i="9" s="1"/>
  <c r="J30" i="9"/>
  <c r="E30" i="9"/>
  <c r="H30" i="9" s="1"/>
  <c r="J31" i="9"/>
  <c r="E31" i="9"/>
  <c r="H31" i="9" s="1"/>
  <c r="J24" i="9"/>
  <c r="E24" i="9"/>
  <c r="H24" i="9" s="1"/>
  <c r="E21" i="9"/>
  <c r="H21" i="9" s="1"/>
  <c r="J21" i="9"/>
  <c r="J34" i="9"/>
  <c r="E34" i="9"/>
  <c r="H34" i="9" s="1"/>
  <c r="J16" i="9"/>
  <c r="E16" i="9"/>
  <c r="H16" i="9" s="1"/>
  <c r="E18" i="8"/>
  <c r="H18" i="8" s="1"/>
  <c r="K18" i="8" s="1"/>
  <c r="L18" i="8" s="1"/>
  <c r="M18" i="8" s="1"/>
  <c r="F83" i="7"/>
  <c r="F82" i="7"/>
  <c r="F81" i="7"/>
  <c r="F80" i="7"/>
  <c r="F79" i="7"/>
  <c r="F78" i="7"/>
  <c r="F77" i="7"/>
  <c r="H76" i="7"/>
  <c r="F76" i="7"/>
  <c r="H75" i="7"/>
  <c r="F75" i="7"/>
  <c r="H74" i="7"/>
  <c r="F74" i="7"/>
  <c r="I74" i="7" s="1"/>
  <c r="J74" i="7" s="1"/>
  <c r="K74" i="7" s="1"/>
  <c r="L74" i="7" s="1"/>
  <c r="N74" i="7" s="1"/>
  <c r="I73" i="7"/>
  <c r="H73" i="7"/>
  <c r="F73" i="7"/>
  <c r="H72" i="7"/>
  <c r="F72" i="7"/>
  <c r="G71" i="7"/>
  <c r="F71" i="7"/>
  <c r="I70" i="7"/>
  <c r="J70" i="7" s="1"/>
  <c r="K70" i="7" s="1"/>
  <c r="L70" i="7" s="1"/>
  <c r="N70" i="7" s="1"/>
  <c r="F70" i="7"/>
  <c r="H69" i="7"/>
  <c r="F69" i="7"/>
  <c r="F68" i="7"/>
  <c r="I68" i="7" s="1"/>
  <c r="J68" i="7" s="1"/>
  <c r="K68" i="7" s="1"/>
  <c r="L68" i="7" s="1"/>
  <c r="N68" i="7" s="1"/>
  <c r="H67" i="7"/>
  <c r="F67" i="7"/>
  <c r="I67" i="7" s="1"/>
  <c r="H66" i="7"/>
  <c r="F66" i="7"/>
  <c r="H65" i="7"/>
  <c r="F65" i="7"/>
  <c r="H64" i="7"/>
  <c r="F64" i="7"/>
  <c r="I64" i="7" s="1"/>
  <c r="J64" i="7" s="1"/>
  <c r="K64" i="7" s="1"/>
  <c r="L64" i="7" s="1"/>
  <c r="N64" i="7" s="1"/>
  <c r="I63" i="7"/>
  <c r="F63" i="7"/>
  <c r="F62" i="7"/>
  <c r="I62" i="7" s="1"/>
  <c r="J62" i="7" s="1"/>
  <c r="K62" i="7" s="1"/>
  <c r="L62" i="7" s="1"/>
  <c r="N62" i="7" s="1"/>
  <c r="F61" i="7"/>
  <c r="F60" i="7"/>
  <c r="I60" i="7" s="1"/>
  <c r="J60" i="7" s="1"/>
  <c r="K60" i="7" s="1"/>
  <c r="L60" i="7" s="1"/>
  <c r="N60" i="7" s="1"/>
  <c r="H59" i="7"/>
  <c r="F59" i="7"/>
  <c r="I59" i="7" s="1"/>
  <c r="H58" i="7"/>
  <c r="F58" i="7"/>
  <c r="H57" i="7"/>
  <c r="F57" i="7"/>
  <c r="H56" i="7"/>
  <c r="J56" i="7" s="1"/>
  <c r="K56" i="7" s="1"/>
  <c r="L56" i="7" s="1"/>
  <c r="N56" i="7" s="1"/>
  <c r="F56" i="7"/>
  <c r="I56" i="7" s="1"/>
  <c r="H55" i="7"/>
  <c r="F55" i="7"/>
  <c r="I55" i="7" s="1"/>
  <c r="G54" i="7"/>
  <c r="F54" i="7"/>
  <c r="F53" i="7"/>
  <c r="I53" i="7" s="1"/>
  <c r="J53" i="7" s="1"/>
  <c r="K53" i="7" s="1"/>
  <c r="L53" i="7" s="1"/>
  <c r="N53" i="7" s="1"/>
  <c r="H52" i="7"/>
  <c r="F52" i="7"/>
  <c r="I52" i="7" s="1"/>
  <c r="F51" i="7"/>
  <c r="H50" i="7"/>
  <c r="F50" i="7"/>
  <c r="I50" i="7" s="1"/>
  <c r="H49" i="7"/>
  <c r="F49" i="7"/>
  <c r="I49" i="7" s="1"/>
  <c r="H48" i="7"/>
  <c r="F48" i="7"/>
  <c r="H47" i="7"/>
  <c r="F47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J50" i="7" l="1"/>
  <c r="K50" i="7" s="1"/>
  <c r="L50" i="7" s="1"/>
  <c r="N50" i="7" s="1"/>
  <c r="J59" i="7"/>
  <c r="K59" i="7" s="1"/>
  <c r="L59" i="7" s="1"/>
  <c r="N59" i="7" s="1"/>
  <c r="I61" i="7"/>
  <c r="J61" i="7" s="1"/>
  <c r="K61" i="7" s="1"/>
  <c r="L61" i="7" s="1"/>
  <c r="N61" i="7" s="1"/>
  <c r="J67" i="7"/>
  <c r="K67" i="7" s="1"/>
  <c r="L67" i="7" s="1"/>
  <c r="N67" i="7" s="1"/>
  <c r="J73" i="7"/>
  <c r="K73" i="7" s="1"/>
  <c r="L73" i="7" s="1"/>
  <c r="N73" i="7" s="1"/>
  <c r="I77" i="7"/>
  <c r="J77" i="7" s="1"/>
  <c r="K77" i="7" s="1"/>
  <c r="L77" i="7" s="1"/>
  <c r="N77" i="7" s="1"/>
  <c r="D29" i="7" s="1"/>
  <c r="E29" i="7" s="1"/>
  <c r="H29" i="7" s="1"/>
  <c r="I79" i="7"/>
  <c r="J79" i="7" s="1"/>
  <c r="K79" i="7" s="1"/>
  <c r="L79" i="7" s="1"/>
  <c r="N79" i="7" s="1"/>
  <c r="D31" i="7" s="1"/>
  <c r="I81" i="7"/>
  <c r="J81" i="7" s="1"/>
  <c r="K81" i="7" s="1"/>
  <c r="L81" i="7" s="1"/>
  <c r="N81" i="7" s="1"/>
  <c r="I83" i="7"/>
  <c r="J83" i="7" s="1"/>
  <c r="K83" i="7" s="1"/>
  <c r="L83" i="7" s="1"/>
  <c r="N83" i="7" s="1"/>
  <c r="J16" i="8"/>
  <c r="E16" i="8"/>
  <c r="H16" i="8" s="1"/>
  <c r="K16" i="8" s="1"/>
  <c r="L16" i="8" s="1"/>
  <c r="M16" i="8" s="1"/>
  <c r="J52" i="7"/>
  <c r="K52" i="7" s="1"/>
  <c r="L52" i="7" s="1"/>
  <c r="N52" i="7" s="1"/>
  <c r="J63" i="7"/>
  <c r="K63" i="7" s="1"/>
  <c r="L63" i="7" s="1"/>
  <c r="N63" i="7" s="1"/>
  <c r="J17" i="8"/>
  <c r="E17" i="8"/>
  <c r="H17" i="8" s="1"/>
  <c r="K17" i="8" s="1"/>
  <c r="K20" i="9"/>
  <c r="L20" i="9" s="1"/>
  <c r="M20" i="9" s="1"/>
  <c r="K26" i="9"/>
  <c r="L26" i="9" s="1"/>
  <c r="M26" i="9" s="1"/>
  <c r="K32" i="9"/>
  <c r="L32" i="9" s="1"/>
  <c r="M32" i="9" s="1"/>
  <c r="K17" i="9"/>
  <c r="L17" i="9" s="1"/>
  <c r="M17" i="9" s="1"/>
  <c r="K21" i="9"/>
  <c r="L21" i="9" s="1"/>
  <c r="M21" i="9" s="1"/>
  <c r="K25" i="9"/>
  <c r="L25" i="9" s="1"/>
  <c r="M25" i="9" s="1"/>
  <c r="J66" i="10"/>
  <c r="E66" i="10"/>
  <c r="H66" i="10" s="1"/>
  <c r="H19" i="10"/>
  <c r="J19" i="10"/>
  <c r="E19" i="10"/>
  <c r="J35" i="10"/>
  <c r="E35" i="10"/>
  <c r="H35" i="10" s="1"/>
  <c r="J51" i="10"/>
  <c r="E51" i="10"/>
  <c r="H51" i="10" s="1"/>
  <c r="J67" i="10"/>
  <c r="E67" i="10"/>
  <c r="H67" i="10" s="1"/>
  <c r="K67" i="10" s="1"/>
  <c r="L67" i="10" s="1"/>
  <c r="M67" i="10" s="1"/>
  <c r="E32" i="10"/>
  <c r="H32" i="10" s="1"/>
  <c r="J32" i="10"/>
  <c r="E48" i="10"/>
  <c r="H48" i="10" s="1"/>
  <c r="J48" i="10"/>
  <c r="E64" i="10"/>
  <c r="J64" i="10"/>
  <c r="H64" i="10"/>
  <c r="K64" i="10" s="1"/>
  <c r="L64" i="10" s="1"/>
  <c r="M64" i="10" s="1"/>
  <c r="E23" i="10"/>
  <c r="H23" i="10" s="1"/>
  <c r="J23" i="10"/>
  <c r="E39" i="10"/>
  <c r="H39" i="10" s="1"/>
  <c r="J39" i="10"/>
  <c r="E55" i="10"/>
  <c r="J55" i="10"/>
  <c r="H55" i="10"/>
  <c r="E71" i="10"/>
  <c r="H71" i="10" s="1"/>
  <c r="J71" i="10"/>
  <c r="J26" i="10"/>
  <c r="E26" i="10"/>
  <c r="H26" i="10" s="1"/>
  <c r="E42" i="10"/>
  <c r="H42" i="10" s="1"/>
  <c r="J42" i="10"/>
  <c r="E58" i="10"/>
  <c r="H58" i="10" s="1"/>
  <c r="J58" i="10"/>
  <c r="E25" i="10"/>
  <c r="H25" i="10" s="1"/>
  <c r="J25" i="10"/>
  <c r="J18" i="10"/>
  <c r="E18" i="10"/>
  <c r="H18" i="10" s="1"/>
  <c r="E34" i="10"/>
  <c r="H34" i="10" s="1"/>
  <c r="J34" i="10"/>
  <c r="J50" i="10"/>
  <c r="E50" i="10"/>
  <c r="H50" i="10" s="1"/>
  <c r="J59" i="10"/>
  <c r="E59" i="10"/>
  <c r="H59" i="10" s="1"/>
  <c r="E21" i="10"/>
  <c r="H21" i="10" s="1"/>
  <c r="J21" i="10"/>
  <c r="E37" i="10"/>
  <c r="H37" i="10" s="1"/>
  <c r="J37" i="10"/>
  <c r="E53" i="10"/>
  <c r="H53" i="10" s="1"/>
  <c r="J53" i="10"/>
  <c r="E69" i="10"/>
  <c r="H69" i="10" s="1"/>
  <c r="J69" i="10"/>
  <c r="E57" i="10"/>
  <c r="J57" i="10"/>
  <c r="H57" i="10"/>
  <c r="J27" i="10"/>
  <c r="E27" i="10"/>
  <c r="H27" i="10"/>
  <c r="H28" i="10"/>
  <c r="E28" i="10"/>
  <c r="J28" i="10"/>
  <c r="E44" i="10"/>
  <c r="H44" i="10" s="1"/>
  <c r="J44" i="10"/>
  <c r="E60" i="10"/>
  <c r="H60" i="10" s="1"/>
  <c r="J60" i="10"/>
  <c r="E29" i="10"/>
  <c r="H29" i="10" s="1"/>
  <c r="J29" i="10"/>
  <c r="E45" i="10"/>
  <c r="H45" i="10" s="1"/>
  <c r="J45" i="10"/>
  <c r="E61" i="10"/>
  <c r="H61" i="10" s="1"/>
  <c r="J61" i="10"/>
  <c r="J17" i="10"/>
  <c r="E17" i="10"/>
  <c r="H17" i="10" s="1"/>
  <c r="K17" i="10" s="1"/>
  <c r="E33" i="10"/>
  <c r="H33" i="10"/>
  <c r="J33" i="10"/>
  <c r="J49" i="10"/>
  <c r="E49" i="10"/>
  <c r="H49" i="10" s="1"/>
  <c r="J65" i="10"/>
  <c r="E65" i="10"/>
  <c r="H65" i="10" s="1"/>
  <c r="E22" i="10"/>
  <c r="H22" i="10" s="1"/>
  <c r="J22" i="10"/>
  <c r="J38" i="10"/>
  <c r="E38" i="10"/>
  <c r="H38" i="10" s="1"/>
  <c r="E54" i="10"/>
  <c r="H54" i="10" s="1"/>
  <c r="J54" i="10"/>
  <c r="E70" i="10"/>
  <c r="H70" i="10" s="1"/>
  <c r="J70" i="10"/>
  <c r="J41" i="10"/>
  <c r="E41" i="10"/>
  <c r="H41" i="10" s="1"/>
  <c r="J43" i="10"/>
  <c r="E43" i="10"/>
  <c r="H43" i="10" s="1"/>
  <c r="E31" i="10"/>
  <c r="J31" i="10"/>
  <c r="H31" i="10"/>
  <c r="K31" i="10" s="1"/>
  <c r="L31" i="10" s="1"/>
  <c r="M31" i="10" s="1"/>
  <c r="E47" i="10"/>
  <c r="H47" i="10" s="1"/>
  <c r="J47" i="10"/>
  <c r="E63" i="10"/>
  <c r="H63" i="10" s="1"/>
  <c r="J63" i="10"/>
  <c r="J30" i="10"/>
  <c r="E30" i="10"/>
  <c r="H30" i="10" s="1"/>
  <c r="E46" i="10"/>
  <c r="H46" i="10" s="1"/>
  <c r="J46" i="10"/>
  <c r="E62" i="10"/>
  <c r="H62" i="10" s="1"/>
  <c r="J62" i="10"/>
  <c r="E20" i="10"/>
  <c r="H20" i="10" s="1"/>
  <c r="J20" i="10"/>
  <c r="E36" i="10"/>
  <c r="H36" i="10" s="1"/>
  <c r="J36" i="10"/>
  <c r="H52" i="10"/>
  <c r="E52" i="10"/>
  <c r="J52" i="10"/>
  <c r="E68" i="10"/>
  <c r="H68" i="10" s="1"/>
  <c r="J68" i="10"/>
  <c r="J24" i="10"/>
  <c r="E24" i="10"/>
  <c r="H24" i="10" s="1"/>
  <c r="J40" i="10"/>
  <c r="E40" i="10"/>
  <c r="H40" i="10" s="1"/>
  <c r="K40" i="10" s="1"/>
  <c r="L40" i="10" s="1"/>
  <c r="M40" i="10" s="1"/>
  <c r="J56" i="10"/>
  <c r="E56" i="10"/>
  <c r="H56" i="10" s="1"/>
  <c r="J72" i="10"/>
  <c r="E72" i="10"/>
  <c r="H72" i="10" s="1"/>
  <c r="K16" i="10"/>
  <c r="L16" i="10" s="1"/>
  <c r="M16" i="10" s="1"/>
  <c r="K34" i="9"/>
  <c r="L34" i="9" s="1"/>
  <c r="M34" i="9" s="1"/>
  <c r="K24" i="9"/>
  <c r="K30" i="9"/>
  <c r="L30" i="9" s="1"/>
  <c r="M30" i="9" s="1"/>
  <c r="K22" i="9"/>
  <c r="L22" i="9" s="1"/>
  <c r="M22" i="9" s="1"/>
  <c r="K35" i="9"/>
  <c r="L35" i="9" s="1"/>
  <c r="M35" i="9" s="1"/>
  <c r="K18" i="9"/>
  <c r="L18" i="9" s="1"/>
  <c r="M18" i="9" s="1"/>
  <c r="K31" i="9"/>
  <c r="L31" i="9" s="1"/>
  <c r="M31" i="9" s="1"/>
  <c r="K33" i="9"/>
  <c r="L33" i="9" s="1"/>
  <c r="M33" i="9" s="1"/>
  <c r="K23" i="9"/>
  <c r="L23" i="9" s="1"/>
  <c r="M23" i="9" s="1"/>
  <c r="K19" i="9"/>
  <c r="L19" i="9" s="1"/>
  <c r="M19" i="9" s="1"/>
  <c r="M29" i="9"/>
  <c r="K16" i="9"/>
  <c r="L16" i="9" s="1"/>
  <c r="M16" i="9" s="1"/>
  <c r="I57" i="7"/>
  <c r="J57" i="7" s="1"/>
  <c r="K57" i="7" s="1"/>
  <c r="L57" i="7" s="1"/>
  <c r="N57" i="7" s="1"/>
  <c r="D26" i="7" s="1"/>
  <c r="I51" i="7"/>
  <c r="J51" i="7" s="1"/>
  <c r="K51" i="7" s="1"/>
  <c r="L51" i="7" s="1"/>
  <c r="N51" i="7" s="1"/>
  <c r="J55" i="7"/>
  <c r="K55" i="7" s="1"/>
  <c r="L55" i="7" s="1"/>
  <c r="N55" i="7" s="1"/>
  <c r="J49" i="7"/>
  <c r="K49" i="7" s="1"/>
  <c r="L49" i="7" s="1"/>
  <c r="N49" i="7" s="1"/>
  <c r="I47" i="7"/>
  <c r="J47" i="7" s="1"/>
  <c r="K47" i="7" s="1"/>
  <c r="L47" i="7" s="1"/>
  <c r="N47" i="7" s="1"/>
  <c r="I48" i="7"/>
  <c r="J48" i="7" s="1"/>
  <c r="K48" i="7" s="1"/>
  <c r="L48" i="7" s="1"/>
  <c r="N48" i="7" s="1"/>
  <c r="I54" i="7"/>
  <c r="J54" i="7" s="1"/>
  <c r="K54" i="7" s="1"/>
  <c r="L54" i="7" s="1"/>
  <c r="N54" i="7" s="1"/>
  <c r="I58" i="7"/>
  <c r="J58" i="7" s="1"/>
  <c r="K58" i="7" s="1"/>
  <c r="L58" i="7" s="1"/>
  <c r="N58" i="7" s="1"/>
  <c r="I66" i="7"/>
  <c r="J66" i="7" s="1"/>
  <c r="K66" i="7" s="1"/>
  <c r="L66" i="7" s="1"/>
  <c r="N66" i="7" s="1"/>
  <c r="I69" i="7"/>
  <c r="J69" i="7" s="1"/>
  <c r="K69" i="7" s="1"/>
  <c r="L69" i="7" s="1"/>
  <c r="N69" i="7" s="1"/>
  <c r="I72" i="7"/>
  <c r="J72" i="7" s="1"/>
  <c r="K72" i="7" s="1"/>
  <c r="L72" i="7" s="1"/>
  <c r="N72" i="7" s="1"/>
  <c r="I76" i="7"/>
  <c r="J76" i="7" s="1"/>
  <c r="K76" i="7" s="1"/>
  <c r="L76" i="7" s="1"/>
  <c r="N76" i="7" s="1"/>
  <c r="D28" i="7" s="1"/>
  <c r="I78" i="7"/>
  <c r="J78" i="7" s="1"/>
  <c r="K78" i="7" s="1"/>
  <c r="L78" i="7" s="1"/>
  <c r="N78" i="7" s="1"/>
  <c r="D30" i="7" s="1"/>
  <c r="I80" i="7"/>
  <c r="J80" i="7" s="1"/>
  <c r="K80" i="7" s="1"/>
  <c r="L80" i="7" s="1"/>
  <c r="N80" i="7" s="1"/>
  <c r="I82" i="7"/>
  <c r="J82" i="7" s="1"/>
  <c r="K82" i="7" s="1"/>
  <c r="L82" i="7" s="1"/>
  <c r="N82" i="7" s="1"/>
  <c r="I65" i="7"/>
  <c r="J65" i="7" s="1"/>
  <c r="K65" i="7" s="1"/>
  <c r="L65" i="7" s="1"/>
  <c r="N65" i="7" s="1"/>
  <c r="I71" i="7"/>
  <c r="J71" i="7" s="1"/>
  <c r="K71" i="7" s="1"/>
  <c r="L71" i="7" s="1"/>
  <c r="N71" i="7" s="1"/>
  <c r="I75" i="7"/>
  <c r="J75" i="7" s="1"/>
  <c r="K75" i="7" s="1"/>
  <c r="L75" i="7" s="1"/>
  <c r="N75" i="7" s="1"/>
  <c r="F32" i="6"/>
  <c r="I32" i="6" s="1"/>
  <c r="F31" i="6"/>
  <c r="I31" i="6" s="1"/>
  <c r="D19" i="7" l="1"/>
  <c r="D22" i="7"/>
  <c r="D25" i="7"/>
  <c r="D16" i="7"/>
  <c r="L17" i="8"/>
  <c r="M17" i="8"/>
  <c r="D20" i="7"/>
  <c r="D32" i="7"/>
  <c r="D21" i="7"/>
  <c r="K36" i="10"/>
  <c r="L36" i="10" s="1"/>
  <c r="M36" i="10" s="1"/>
  <c r="K62" i="10"/>
  <c r="L62" i="10" s="1"/>
  <c r="M62" i="10" s="1"/>
  <c r="K47" i="10"/>
  <c r="L47" i="10" s="1"/>
  <c r="M47" i="10" s="1"/>
  <c r="K43" i="10"/>
  <c r="L43" i="10" s="1"/>
  <c r="M43" i="10" s="1"/>
  <c r="K70" i="10"/>
  <c r="L70" i="10" s="1"/>
  <c r="M70" i="10" s="1"/>
  <c r="K54" i="10"/>
  <c r="K61" i="10"/>
  <c r="L61" i="10" s="1"/>
  <c r="M61" i="10" s="1"/>
  <c r="K37" i="10"/>
  <c r="L37" i="10" s="1"/>
  <c r="M37" i="10" s="1"/>
  <c r="K21" i="10"/>
  <c r="L21" i="10" s="1"/>
  <c r="M21" i="10" s="1"/>
  <c r="K50" i="10"/>
  <c r="K18" i="10"/>
  <c r="K23" i="10"/>
  <c r="L23" i="10" s="1"/>
  <c r="M23" i="10" s="1"/>
  <c r="K32" i="10"/>
  <c r="L32" i="10" s="1"/>
  <c r="M32" i="10" s="1"/>
  <c r="K28" i="10"/>
  <c r="L28" i="10" s="1"/>
  <c r="M28" i="10" s="1"/>
  <c r="K35" i="10"/>
  <c r="L35" i="10" s="1"/>
  <c r="M35" i="10" s="1"/>
  <c r="K38" i="10"/>
  <c r="L38" i="10" s="1"/>
  <c r="M38" i="10" s="1"/>
  <c r="K65" i="10"/>
  <c r="L65" i="10" s="1"/>
  <c r="M65" i="10" s="1"/>
  <c r="K59" i="10"/>
  <c r="L59" i="10" s="1"/>
  <c r="M59" i="10" s="1"/>
  <c r="K66" i="10"/>
  <c r="K69" i="10"/>
  <c r="L69" i="10" s="1"/>
  <c r="M69" i="10" s="1"/>
  <c r="K72" i="10"/>
  <c r="L72" i="10" s="1"/>
  <c r="M72" i="10" s="1"/>
  <c r="K24" i="10"/>
  <c r="L24" i="10" s="1"/>
  <c r="M24" i="10" s="1"/>
  <c r="K68" i="10"/>
  <c r="L68" i="10" s="1"/>
  <c r="M68" i="10" s="1"/>
  <c r="K30" i="10"/>
  <c r="L30" i="10" s="1"/>
  <c r="M30" i="10" s="1"/>
  <c r="K60" i="10"/>
  <c r="L60" i="10" s="1"/>
  <c r="M60" i="10" s="1"/>
  <c r="K53" i="10"/>
  <c r="K34" i="10"/>
  <c r="K25" i="10"/>
  <c r="L25" i="10" s="1"/>
  <c r="M25" i="10" s="1"/>
  <c r="K71" i="10"/>
  <c r="L71" i="10" s="1"/>
  <c r="M71" i="10" s="1"/>
  <c r="K51" i="10"/>
  <c r="L51" i="10" s="1"/>
  <c r="M51" i="10" s="1"/>
  <c r="K22" i="10"/>
  <c r="L22" i="10" s="1"/>
  <c r="M22" i="10" s="1"/>
  <c r="K19" i="10"/>
  <c r="L19" i="10" s="1"/>
  <c r="M19" i="10" s="1"/>
  <c r="K52" i="10"/>
  <c r="L52" i="10" s="1"/>
  <c r="M52" i="10" s="1"/>
  <c r="K20" i="10"/>
  <c r="L20" i="10" s="1"/>
  <c r="M20" i="10" s="1"/>
  <c r="K46" i="10"/>
  <c r="L46" i="10" s="1"/>
  <c r="M46" i="10" s="1"/>
  <c r="K63" i="10"/>
  <c r="L63" i="10" s="1"/>
  <c r="M63" i="10" s="1"/>
  <c r="K45" i="10"/>
  <c r="L45" i="10" s="1"/>
  <c r="M45" i="10" s="1"/>
  <c r="K44" i="10"/>
  <c r="L44" i="10" s="1"/>
  <c r="M44" i="10" s="1"/>
  <c r="K27" i="10"/>
  <c r="L27" i="10" s="1"/>
  <c r="M27" i="10" s="1"/>
  <c r="K58" i="10"/>
  <c r="L58" i="10" s="1"/>
  <c r="M58" i="10" s="1"/>
  <c r="K39" i="10"/>
  <c r="L39" i="10" s="1"/>
  <c r="M39" i="10" s="1"/>
  <c r="L17" i="10"/>
  <c r="M17" i="10" s="1"/>
  <c r="K57" i="10"/>
  <c r="K55" i="10"/>
  <c r="L55" i="10" s="1"/>
  <c r="M55" i="10" s="1"/>
  <c r="K48" i="10"/>
  <c r="L48" i="10" s="1"/>
  <c r="M48" i="10" s="1"/>
  <c r="L34" i="10"/>
  <c r="M34" i="10" s="1"/>
  <c r="L54" i="10"/>
  <c r="M54" i="10"/>
  <c r="K33" i="10"/>
  <c r="K29" i="10"/>
  <c r="L50" i="10"/>
  <c r="M50" i="10"/>
  <c r="L18" i="10"/>
  <c r="M18" i="10" s="1"/>
  <c r="K42" i="10"/>
  <c r="L42" i="10" s="1"/>
  <c r="M42" i="10" s="1"/>
  <c r="L66" i="10"/>
  <c r="M66" i="10" s="1"/>
  <c r="K56" i="10"/>
  <c r="L56" i="10" s="1"/>
  <c r="M56" i="10" s="1"/>
  <c r="K41" i="10"/>
  <c r="K49" i="10"/>
  <c r="K26" i="10"/>
  <c r="L24" i="9"/>
  <c r="M24" i="9" s="1"/>
  <c r="E32" i="7"/>
  <c r="H32" i="7" s="1"/>
  <c r="D17" i="7"/>
  <c r="H28" i="7"/>
  <c r="E28" i="7"/>
  <c r="E16" i="7"/>
  <c r="E30" i="7"/>
  <c r="H30" i="7"/>
  <c r="E21" i="7"/>
  <c r="H21" i="7" s="1"/>
  <c r="E20" i="7"/>
  <c r="H20" i="7" s="1"/>
  <c r="D24" i="7"/>
  <c r="D18" i="7"/>
  <c r="D23" i="7"/>
  <c r="E19" i="7"/>
  <c r="H19" i="7" s="1"/>
  <c r="E31" i="7"/>
  <c r="H31" i="7" s="1"/>
  <c r="E26" i="7"/>
  <c r="H26" i="7" s="1"/>
  <c r="D27" i="7"/>
  <c r="J31" i="6"/>
  <c r="K31" i="6" s="1"/>
  <c r="L31" i="6" s="1"/>
  <c r="N31" i="6" s="1"/>
  <c r="J32" i="6"/>
  <c r="K32" i="6" s="1"/>
  <c r="L32" i="6" s="1"/>
  <c r="N32" i="6" s="1"/>
  <c r="F33" i="6"/>
  <c r="I33" i="6" s="1"/>
  <c r="H16" i="7" l="1"/>
  <c r="E25" i="7"/>
  <c r="H25" i="7" s="1"/>
  <c r="H22" i="7"/>
  <c r="E22" i="7"/>
  <c r="L53" i="10"/>
  <c r="M53" i="10" s="1"/>
  <c r="L26" i="10"/>
  <c r="M26" i="10" s="1"/>
  <c r="L33" i="10"/>
  <c r="M33" i="10" s="1"/>
  <c r="L49" i="10"/>
  <c r="M49" i="10" s="1"/>
  <c r="L41" i="10"/>
  <c r="M41" i="10" s="1"/>
  <c r="L29" i="10"/>
  <c r="M29" i="10" s="1"/>
  <c r="L57" i="10"/>
  <c r="M57" i="10" s="1"/>
  <c r="E27" i="7"/>
  <c r="H27" i="7"/>
  <c r="E17" i="7"/>
  <c r="H17" i="7" s="1"/>
  <c r="E18" i="7"/>
  <c r="H18" i="7"/>
  <c r="E23" i="7"/>
  <c r="H23" i="7"/>
  <c r="E24" i="7"/>
  <c r="H24" i="7" s="1"/>
  <c r="J33" i="6"/>
  <c r="K33" i="6" s="1"/>
  <c r="L33" i="6" s="1"/>
  <c r="G21" i="5"/>
  <c r="I21" i="5" s="1"/>
  <c r="G23" i="5"/>
  <c r="I23" i="5" s="1"/>
  <c r="G22" i="5"/>
  <c r="I22" i="5" s="1"/>
  <c r="G20" i="5"/>
  <c r="I20" i="5" s="1"/>
  <c r="G19" i="5"/>
  <c r="I19" i="5" s="1"/>
  <c r="N33" i="6" l="1"/>
  <c r="G24" i="5"/>
  <c r="H24" i="5" s="1"/>
  <c r="I24" i="5" s="1"/>
  <c r="I25" i="5" s="1"/>
  <c r="C14" i="5" s="1"/>
  <c r="H41" i="5"/>
  <c r="I41" i="5" s="1"/>
  <c r="J41" i="5" s="1"/>
  <c r="L41" i="5" s="1"/>
  <c r="H36" i="5"/>
  <c r="F36" i="5"/>
  <c r="F35" i="5"/>
  <c r="M35" i="5" s="1"/>
  <c r="N35" i="5" s="1"/>
  <c r="O35" i="5" s="1"/>
  <c r="Q35" i="5" s="1"/>
  <c r="D16" i="6" l="1"/>
  <c r="E16" i="6" s="1"/>
  <c r="H16" i="6" s="1"/>
  <c r="N34" i="6"/>
  <c r="M36" i="5"/>
  <c r="N36" i="5" s="1"/>
  <c r="O36" i="5" s="1"/>
  <c r="G14" i="5"/>
  <c r="Q36" i="5" l="1"/>
  <c r="Q37" i="5" s="1"/>
  <c r="D14" i="5" s="1"/>
  <c r="J14" i="5" s="1"/>
  <c r="C15" i="3"/>
  <c r="F22" i="3"/>
  <c r="F21" i="3"/>
  <c r="F20" i="3"/>
  <c r="F23" i="3" s="1"/>
  <c r="F33" i="3"/>
  <c r="G33" i="3" s="1"/>
  <c r="E14" i="5" l="1"/>
  <c r="C14" i="3"/>
  <c r="H33" i="3"/>
  <c r="O33" i="3" s="1"/>
  <c r="P33" i="3" s="1"/>
  <c r="Q33" i="3" s="1"/>
  <c r="S33" i="3" s="1"/>
  <c r="G14" i="3"/>
  <c r="S34" i="3" l="1"/>
  <c r="D14" i="3" s="1"/>
  <c r="E14" i="3" s="1"/>
  <c r="D15" i="3"/>
  <c r="E15" i="3" s="1"/>
  <c r="H54" i="2"/>
  <c r="F54" i="2"/>
  <c r="I54" i="2" l="1"/>
  <c r="J54" i="2" s="1"/>
  <c r="K54" i="2" s="1"/>
  <c r="M54" i="2" s="1"/>
  <c r="H14" i="3"/>
  <c r="H15" i="3"/>
  <c r="H53" i="2" l="1"/>
  <c r="F53" i="2"/>
  <c r="H52" i="2"/>
  <c r="F52" i="2"/>
  <c r="H51" i="2"/>
  <c r="F51" i="2"/>
  <c r="H50" i="2"/>
  <c r="F50" i="2"/>
  <c r="I50" i="2" l="1"/>
  <c r="J50" i="2" s="1"/>
  <c r="K50" i="2" s="1"/>
  <c r="M50" i="2" s="1"/>
  <c r="I52" i="2"/>
  <c r="J52" i="2" s="1"/>
  <c r="K52" i="2" s="1"/>
  <c r="M52" i="2" s="1"/>
  <c r="I51" i="2"/>
  <c r="J51" i="2" s="1"/>
  <c r="K51" i="2" s="1"/>
  <c r="M51" i="2" s="1"/>
  <c r="I53" i="2"/>
  <c r="J53" i="2" s="1"/>
  <c r="K53" i="2" s="1"/>
  <c r="M53" i="2" s="1"/>
  <c r="H42" i="2"/>
  <c r="F42" i="2"/>
  <c r="H40" i="2"/>
  <c r="F40" i="2"/>
  <c r="H39" i="2"/>
  <c r="F39" i="2"/>
  <c r="F19" i="2"/>
  <c r="I32" i="7" l="1"/>
  <c r="J32" i="7" s="1"/>
  <c r="K32" i="7" s="1"/>
  <c r="L32" i="7" s="1"/>
  <c r="M32" i="7" s="1"/>
  <c r="I30" i="7"/>
  <c r="J30" i="7" s="1"/>
  <c r="K30" i="7" s="1"/>
  <c r="L30" i="7" s="1"/>
  <c r="M30" i="7" s="1"/>
  <c r="I28" i="7"/>
  <c r="J28" i="7" s="1"/>
  <c r="K28" i="7" s="1"/>
  <c r="I26" i="7"/>
  <c r="J26" i="7" s="1"/>
  <c r="K26" i="7" s="1"/>
  <c r="L26" i="7" s="1"/>
  <c r="M26" i="7" s="1"/>
  <c r="I24" i="7"/>
  <c r="J24" i="7" s="1"/>
  <c r="K24" i="7" s="1"/>
  <c r="L24" i="7" s="1"/>
  <c r="M24" i="7" s="1"/>
  <c r="I22" i="7"/>
  <c r="J22" i="7" s="1"/>
  <c r="K22" i="7" s="1"/>
  <c r="I20" i="7"/>
  <c r="J20" i="7" s="1"/>
  <c r="K20" i="7" s="1"/>
  <c r="L20" i="7" s="1"/>
  <c r="M20" i="7" s="1"/>
  <c r="I16" i="7"/>
  <c r="J16" i="7" s="1"/>
  <c r="K16" i="7" s="1"/>
  <c r="L16" i="7" s="1"/>
  <c r="M16" i="7" s="1"/>
  <c r="I31" i="7"/>
  <c r="J31" i="7" s="1"/>
  <c r="K31" i="7" s="1"/>
  <c r="L31" i="7" s="1"/>
  <c r="M31" i="7" s="1"/>
  <c r="I29" i="7"/>
  <c r="J29" i="7" s="1"/>
  <c r="K29" i="7" s="1"/>
  <c r="L29" i="7" s="1"/>
  <c r="M29" i="7" s="1"/>
  <c r="I27" i="7"/>
  <c r="J27" i="7" s="1"/>
  <c r="K27" i="7" s="1"/>
  <c r="L27" i="7" s="1"/>
  <c r="M27" i="7" s="1"/>
  <c r="I25" i="7"/>
  <c r="J25" i="7" s="1"/>
  <c r="K25" i="7" s="1"/>
  <c r="L25" i="7" s="1"/>
  <c r="M25" i="7" s="1"/>
  <c r="I23" i="7"/>
  <c r="J23" i="7" s="1"/>
  <c r="K23" i="7" s="1"/>
  <c r="I21" i="7"/>
  <c r="J21" i="7" s="1"/>
  <c r="K21" i="7" s="1"/>
  <c r="I19" i="7"/>
  <c r="J19" i="7" s="1"/>
  <c r="K19" i="7" s="1"/>
  <c r="L19" i="7" s="1"/>
  <c r="M19" i="7" s="1"/>
  <c r="I17" i="7"/>
  <c r="J17" i="7" s="1"/>
  <c r="K17" i="7" s="1"/>
  <c r="L17" i="7" s="1"/>
  <c r="M17" i="7" s="1"/>
  <c r="I18" i="7"/>
  <c r="J18" i="7" s="1"/>
  <c r="K18" i="7" s="1"/>
  <c r="L18" i="7" s="1"/>
  <c r="M18" i="7" s="1"/>
  <c r="I16" i="6"/>
  <c r="J16" i="6" s="1"/>
  <c r="K16" i="6" s="1"/>
  <c r="K14" i="5"/>
  <c r="L14" i="5" s="1"/>
  <c r="M14" i="5" s="1"/>
  <c r="I15" i="3"/>
  <c r="J15" i="3" s="1"/>
  <c r="K15" i="3" s="1"/>
  <c r="L15" i="3" s="1"/>
  <c r="M15" i="3" s="1"/>
  <c r="I14" i="3"/>
  <c r="J14" i="3" s="1"/>
  <c r="K14" i="3" s="1"/>
  <c r="L14" i="3" s="1"/>
  <c r="M14" i="3" s="1"/>
  <c r="I42" i="2"/>
  <c r="J42" i="2" s="1"/>
  <c r="K42" i="2" s="1"/>
  <c r="M42" i="2" s="1"/>
  <c r="I14" i="2"/>
  <c r="I15" i="2" s="1"/>
  <c r="I14" i="1"/>
  <c r="I15" i="1" s="1"/>
  <c r="J15" i="1" s="1"/>
  <c r="I40" i="2"/>
  <c r="J40" i="2" s="1"/>
  <c r="K40" i="2" s="1"/>
  <c r="M40" i="2" s="1"/>
  <c r="I39" i="2"/>
  <c r="J39" i="2" s="1"/>
  <c r="K39" i="2" s="1"/>
  <c r="M39" i="2" s="1"/>
  <c r="L16" i="6" l="1"/>
  <c r="M16" i="6" s="1"/>
  <c r="L28" i="7"/>
  <c r="M28" i="7" s="1"/>
  <c r="L21" i="7"/>
  <c r="M21" i="7" s="1"/>
  <c r="L22" i="7"/>
  <c r="M22" i="7" s="1"/>
  <c r="L23" i="7"/>
  <c r="M23" i="7" s="1"/>
  <c r="H36" i="2"/>
  <c r="H37" i="2"/>
  <c r="H38" i="2"/>
  <c r="H45" i="2"/>
  <c r="H46" i="2"/>
  <c r="H47" i="2"/>
  <c r="H48" i="2"/>
  <c r="H49" i="2"/>
  <c r="F49" i="2"/>
  <c r="F48" i="2"/>
  <c r="F47" i="2"/>
  <c r="F46" i="2"/>
  <c r="F45" i="2"/>
  <c r="F59" i="2"/>
  <c r="H59" i="2" s="1"/>
  <c r="I59" i="2" s="1"/>
  <c r="J59" i="2" s="1"/>
  <c r="L59" i="2" s="1"/>
  <c r="F37" i="2"/>
  <c r="F38" i="2"/>
  <c r="F36" i="2"/>
  <c r="H42" i="1"/>
  <c r="I42" i="1" s="1"/>
  <c r="J42" i="1" s="1"/>
  <c r="L42" i="1" s="1"/>
  <c r="G14" i="1" s="1"/>
  <c r="F24" i="1"/>
  <c r="F23" i="1"/>
  <c r="F22" i="1"/>
  <c r="F25" i="1" s="1"/>
  <c r="C15" i="1" s="1"/>
  <c r="F20" i="1"/>
  <c r="F21" i="1" s="1"/>
  <c r="C14" i="1" s="1"/>
  <c r="G15" i="1" l="1"/>
  <c r="I48" i="2"/>
  <c r="J48" i="2" s="1"/>
  <c r="K48" i="2" s="1"/>
  <c r="M48" i="2" s="1"/>
  <c r="I45" i="2"/>
  <c r="J45" i="2" s="1"/>
  <c r="K45" i="2" s="1"/>
  <c r="M45" i="2" s="1"/>
  <c r="I49" i="2"/>
  <c r="J49" i="2" s="1"/>
  <c r="K49" i="2" s="1"/>
  <c r="M49" i="2" s="1"/>
  <c r="I38" i="2"/>
  <c r="J38" i="2" s="1"/>
  <c r="K38" i="2" s="1"/>
  <c r="M38" i="2" s="1"/>
  <c r="I37" i="2"/>
  <c r="J37" i="2" s="1"/>
  <c r="K37" i="2" s="1"/>
  <c r="M37" i="2" s="1"/>
  <c r="I47" i="2"/>
  <c r="J47" i="2" s="1"/>
  <c r="K47" i="2" s="1"/>
  <c r="M47" i="2" s="1"/>
  <c r="I46" i="2"/>
  <c r="J46" i="2" s="1"/>
  <c r="K46" i="2" s="1"/>
  <c r="M46" i="2" s="1"/>
  <c r="I36" i="2"/>
  <c r="J36" i="2" s="1"/>
  <c r="K36" i="2" s="1"/>
  <c r="M36" i="2" s="1"/>
  <c r="C14" i="2"/>
  <c r="G15" i="2"/>
  <c r="G14" i="2"/>
  <c r="M55" i="2" l="1"/>
  <c r="D15" i="2" s="1"/>
  <c r="M43" i="2"/>
  <c r="D14" i="2" s="1"/>
  <c r="J14" i="1"/>
  <c r="K15" i="1"/>
  <c r="L15" i="1" s="1"/>
  <c r="E15" i="1"/>
  <c r="M15" i="1" l="1"/>
  <c r="J15" i="2"/>
  <c r="E14" i="2"/>
  <c r="H14" i="2" s="1"/>
  <c r="E14" i="1"/>
  <c r="H14" i="1" s="1"/>
  <c r="K14" i="1" s="1"/>
  <c r="E15" i="2"/>
  <c r="H15" i="2" s="1"/>
  <c r="L14" i="1" l="1"/>
  <c r="M14" i="1" s="1"/>
  <c r="K15" i="2"/>
  <c r="J14" i="2"/>
  <c r="K14" i="2" s="1"/>
  <c r="L14" i="2" s="1"/>
  <c r="L15" i="2" l="1"/>
  <c r="M15" i="2" s="1"/>
  <c r="M14" i="2"/>
</calcChain>
</file>

<file path=xl/sharedStrings.xml><?xml version="1.0" encoding="utf-8"?>
<sst xmlns="http://schemas.openxmlformats.org/spreadsheetml/2006/main" count="1666" uniqueCount="361">
  <si>
    <t>"У Т В Е Р Ж Д А Ю"</t>
  </si>
  <si>
    <t>Директор ГКП на ПХВ "Саркандская</t>
  </si>
  <si>
    <t xml:space="preserve">                                районная больница"</t>
  </si>
  <si>
    <t xml:space="preserve">                       _________________Шулгаубаев А.К.</t>
  </si>
  <si>
    <t>"_________"_____________2019г.</t>
  </si>
  <si>
    <t>Калькуляция на выполнение медицинских услуг</t>
  </si>
  <si>
    <t>Управления здравоохранения Алматинской области</t>
  </si>
  <si>
    <t>№ п/п</t>
  </si>
  <si>
    <t>Наименование услуг</t>
  </si>
  <si>
    <t>Прямые    затраты</t>
  </si>
  <si>
    <t>Накладные расходы</t>
  </si>
  <si>
    <t>Всего себестоимость услуг</t>
  </si>
  <si>
    <t>Рентабельность, 30 %</t>
  </si>
  <si>
    <t>Цена услуги, тг</t>
  </si>
  <si>
    <t>Материальные   затраты</t>
  </si>
  <si>
    <t>Затраты  на  оплату  труда</t>
  </si>
  <si>
    <t>Износ основных средств</t>
  </si>
  <si>
    <t>Всего прямые затраты</t>
  </si>
  <si>
    <t>в %</t>
  </si>
  <si>
    <t>сумма</t>
  </si>
  <si>
    <t>Сырье  и материалы</t>
  </si>
  <si>
    <t>Заработная  плата работников на выполнение услуг</t>
  </si>
  <si>
    <t>Взносы работодателя</t>
  </si>
  <si>
    <t>доп.з\п</t>
  </si>
  <si>
    <t>Компьютерная томография одной проекций без констратирования</t>
  </si>
  <si>
    <t>Компьютерная томография одной проекций с констратированием</t>
  </si>
  <si>
    <t xml:space="preserve">                                   Расходные материалы</t>
  </si>
  <si>
    <t>Наименование расходных материалов</t>
  </si>
  <si>
    <t>Наличие в комплекте поставки (кол-во)</t>
  </si>
  <si>
    <t>Стоимость, в тенге за ед.</t>
  </si>
  <si>
    <t>Потребностьна 1 исследование</t>
  </si>
  <si>
    <t>Итого стоимость в тенге</t>
  </si>
  <si>
    <t>Рентгеновская плёнка КТ</t>
  </si>
  <si>
    <t>Итого без контрастирования:</t>
  </si>
  <si>
    <t>Вигексол раствор для инъекций 50%</t>
  </si>
  <si>
    <t>Трубка насоса</t>
  </si>
  <si>
    <t>Итого с контрастированием:</t>
  </si>
  <si>
    <t>Заработная плата персонала</t>
  </si>
  <si>
    <t>(тенге)</t>
  </si>
  <si>
    <t>Наименование должностей</t>
  </si>
  <si>
    <t>Разряд</t>
  </si>
  <si>
    <t>коэффициент</t>
  </si>
  <si>
    <t xml:space="preserve">МЗП </t>
  </si>
  <si>
    <t>основной  оклад</t>
  </si>
  <si>
    <t>Итого  ФЗП</t>
  </si>
  <si>
    <t>Стои-мость  часа (среднее кол-во раб.часов в месяц - 163,33)</t>
  </si>
  <si>
    <t>Стои-мость минуты</t>
  </si>
  <si>
    <t>Норма      времени</t>
  </si>
  <si>
    <t>Сумма  заработной платы</t>
  </si>
  <si>
    <t>доплаты  в  связи  с опасными для здоровья и особо тяжелыми условиями труда</t>
  </si>
  <si>
    <t>доплаты психоэмоц.</t>
  </si>
  <si>
    <t>за особые условия труда</t>
  </si>
  <si>
    <t>%</t>
  </si>
  <si>
    <t>СМР</t>
  </si>
  <si>
    <t>итого:</t>
  </si>
  <si>
    <t>Наименование основных средств</t>
  </si>
  <si>
    <t>Кол-во</t>
  </si>
  <si>
    <t>Дата ввода в эксплуатацию</t>
  </si>
  <si>
    <t>первоначальная стоимость</t>
  </si>
  <si>
    <t>износ с начала поступления</t>
  </si>
  <si>
    <t>годовая норма износа</t>
  </si>
  <si>
    <t>остаточная стоимость на конец отчетного периода</t>
  </si>
  <si>
    <t>сумма износа(годовая) на отчетный период</t>
  </si>
  <si>
    <t>сумма износа(часовая) на отчетный период</t>
  </si>
  <si>
    <t>норма времени на оказываемый вид услуги</t>
  </si>
  <si>
    <t>сумма износа за норматив времени</t>
  </si>
  <si>
    <t>Компьютерный томограф SOMATON Denfinition AS</t>
  </si>
  <si>
    <t xml:space="preserve">Главный бухгалтер </t>
  </si>
  <si>
    <t>___________</t>
  </si>
  <si>
    <t>Рожкова С.С</t>
  </si>
  <si>
    <t xml:space="preserve">Экономист </t>
  </si>
  <si>
    <t>Елубаев Н.Р.</t>
  </si>
  <si>
    <t xml:space="preserve">ГКП на ПХВ «Саркандкая Центральная районная больница» </t>
  </si>
  <si>
    <t xml:space="preserve">Врач терапевт </t>
  </si>
  <si>
    <t>Врач нарколог</t>
  </si>
  <si>
    <t>Врач неврапотолог</t>
  </si>
  <si>
    <t>Врач офтальмолог</t>
  </si>
  <si>
    <t xml:space="preserve">Врач психиатр </t>
  </si>
  <si>
    <t xml:space="preserve">Аппарат рентгеновский флюрографический цифровой "Карс" </t>
  </si>
  <si>
    <t>тенге</t>
  </si>
  <si>
    <t>"Утвеждаю"</t>
  </si>
  <si>
    <t xml:space="preserve">Директор ГКП на ПХВ </t>
  </si>
  <si>
    <t xml:space="preserve">Саркандская районная </t>
  </si>
  <si>
    <t>центральная больница</t>
  </si>
  <si>
    <t>____________ Шулгаубаев А.К.</t>
  </si>
  <si>
    <t>Расчет за оказание платных медицинских услуг (по инициативе пациента без направления врачей ПМСП) ГКП на ПХВ</t>
  </si>
  <si>
    <t xml:space="preserve">Определение коэффициента затрат </t>
  </si>
  <si>
    <t>ГКП на ПХВ "Саркандская центральная районная больница"</t>
  </si>
  <si>
    <t xml:space="preserve"> - опредение коэффициента обще-поликлинического персонала и административно-хозяйственной части к медицинскому персоналу</t>
  </si>
  <si>
    <t>Наименовние персонала</t>
  </si>
  <si>
    <t xml:space="preserve">Всего по поликлинике </t>
  </si>
  <si>
    <t xml:space="preserve">в том числе </t>
  </si>
  <si>
    <t xml:space="preserve">Накладные расходы в % </t>
  </si>
  <si>
    <t>Главный бухгалтер  ___________________ Рожкова С.С.</t>
  </si>
  <si>
    <t>Наличие в комплекте поставки (кол-во) упаковок</t>
  </si>
  <si>
    <t>Потребность на 1 исследование</t>
  </si>
  <si>
    <t>Рентген пленка зеленочуствительная MXG. 100 листов в упаковке</t>
  </si>
  <si>
    <t>Мед.сестра терапевт</t>
  </si>
  <si>
    <t>Мед.сестра неврапотолог</t>
  </si>
  <si>
    <t>Мед.сестра психиатр/нарколог</t>
  </si>
  <si>
    <t>Мед.сестра офтальмолог</t>
  </si>
  <si>
    <t>Санитарка</t>
  </si>
  <si>
    <t>БДО</t>
  </si>
  <si>
    <t>В2-4</t>
  </si>
  <si>
    <t>В4-4</t>
  </si>
  <si>
    <t>В2-1</t>
  </si>
  <si>
    <t>В4-1</t>
  </si>
  <si>
    <t>Поправочный коэ-т</t>
  </si>
  <si>
    <t>Итого основной оклад</t>
  </si>
  <si>
    <t>Итого:</t>
  </si>
  <si>
    <t xml:space="preserve">Тест мультипанель для определения 6 наркотиков в моче </t>
  </si>
  <si>
    <t xml:space="preserve">Тест для определения алкогоьного опьянения </t>
  </si>
  <si>
    <t>"_________"_____________2021г.</t>
  </si>
  <si>
    <t xml:space="preserve">Медицинский осмотр с предоставлением тест полосок. </t>
  </si>
  <si>
    <t xml:space="preserve">Медицинский осмотр без предоставления тест полосок. </t>
  </si>
  <si>
    <t xml:space="preserve">Измерение артериаольного давления </t>
  </si>
  <si>
    <t xml:space="preserve"> "Саркандская центральная районная больница" на 2021год</t>
  </si>
  <si>
    <t>"_____"______________2021г</t>
  </si>
  <si>
    <t>ФЗП в месяц по смете расходовтарификация (тыс.тенге) на 01.01.2021г</t>
  </si>
  <si>
    <t>Объем вытесняемого газа норм м3/ч</t>
  </si>
  <si>
    <t>Мощность двигателя  кВт</t>
  </si>
  <si>
    <t>GOW -3/4-150 Воздушная обмотка 94% концентратность</t>
  </si>
  <si>
    <t>Цена кВТ тенге</t>
  </si>
  <si>
    <t xml:space="preserve">Сумма на за 1 час работы двигателя </t>
  </si>
  <si>
    <t>Сумма за 1 куб</t>
  </si>
  <si>
    <t>Итого за 6 куб</t>
  </si>
  <si>
    <t xml:space="preserve">Техник по кислороду </t>
  </si>
  <si>
    <t>D</t>
  </si>
  <si>
    <t>Заправка кислородного балона 6 куб</t>
  </si>
  <si>
    <t>Компрессор винтовой CSM 30/8</t>
  </si>
  <si>
    <t>Осушитель IDFA 75E-23</t>
  </si>
  <si>
    <t xml:space="preserve">Кондиционер </t>
  </si>
  <si>
    <t xml:space="preserve">Винтеляция </t>
  </si>
  <si>
    <t>Концентратор кислорода "Провита -330"</t>
  </si>
  <si>
    <t>Концентратор кислорода медицинский адсорбционный "Провита 330"</t>
  </si>
  <si>
    <t>Консультация: Терапевт</t>
  </si>
  <si>
    <t>Консультация: Педиатр</t>
  </si>
  <si>
    <t>Консультация: Хирург</t>
  </si>
  <si>
    <t>Консультация: Акушер-гинеколог</t>
  </si>
  <si>
    <t>Консультация: Психолог</t>
  </si>
  <si>
    <t>Консультация: Оториноларинголог</t>
  </si>
  <si>
    <t>Консультация: Невропатолог</t>
  </si>
  <si>
    <t>Консультация: Инфекционист</t>
  </si>
  <si>
    <t>Консультация: Офтальмолог</t>
  </si>
  <si>
    <t>Консультация: Уролог</t>
  </si>
  <si>
    <t>Консультация: Травматолог-ортопед</t>
  </si>
  <si>
    <t>Консультация: Челюстно-лицевой хирург</t>
  </si>
  <si>
    <t>Консультация: Онколог</t>
  </si>
  <si>
    <t>Консультация: Психиатр</t>
  </si>
  <si>
    <t>Консультация: Нарколог</t>
  </si>
  <si>
    <t>Консультация: Реабилитолог</t>
  </si>
  <si>
    <t>Консультация: Логопед</t>
  </si>
  <si>
    <t>Врач Терапевт</t>
  </si>
  <si>
    <t>Врач Педиатр</t>
  </si>
  <si>
    <t>Врач Хирург</t>
  </si>
  <si>
    <t>Врач Акушер-гинеколог</t>
  </si>
  <si>
    <t>Врач Психолог</t>
  </si>
  <si>
    <t>Врач Оториноларинголог</t>
  </si>
  <si>
    <t>Врач Невропатолог</t>
  </si>
  <si>
    <t>Врач Инфекционист</t>
  </si>
  <si>
    <t>Врач Офтальмолог</t>
  </si>
  <si>
    <t>Врач Уролог</t>
  </si>
  <si>
    <t>Врач Травматолог-ортопед</t>
  </si>
  <si>
    <t>Врач Челюстно-лицевой хирург</t>
  </si>
  <si>
    <t>Врач Онколог</t>
  </si>
  <si>
    <t>Врач Психиатр</t>
  </si>
  <si>
    <t>Врач Нарколог</t>
  </si>
  <si>
    <t>Врач Реабилитолог</t>
  </si>
  <si>
    <t>Врач Логопед</t>
  </si>
  <si>
    <t>СМР Терапевт</t>
  </si>
  <si>
    <t>СМР Педиатр</t>
  </si>
  <si>
    <t>СМР Хирург</t>
  </si>
  <si>
    <t>СМР Акушер-гинеколог</t>
  </si>
  <si>
    <t>СМР Психолог</t>
  </si>
  <si>
    <t>СМР Оториноларинголог</t>
  </si>
  <si>
    <t>СМР Невропатолог</t>
  </si>
  <si>
    <t>СМР Инфекционист</t>
  </si>
  <si>
    <t>СМР Офтальмолог</t>
  </si>
  <si>
    <t>СМР Уролог</t>
  </si>
  <si>
    <t>СМР Травматолог-ортопед</t>
  </si>
  <si>
    <t>СМР Челюстно-лицевой хирург</t>
  </si>
  <si>
    <t>СМР Онколог</t>
  </si>
  <si>
    <t>СМР Психиатр</t>
  </si>
  <si>
    <t>СМР Нарколог</t>
  </si>
  <si>
    <t>СМР Реабилитолог</t>
  </si>
  <si>
    <t>СМР Логопед</t>
  </si>
  <si>
    <t xml:space="preserve">Санитарка </t>
  </si>
  <si>
    <t>Доплата 10%</t>
  </si>
  <si>
    <t xml:space="preserve">Доплаты и надбавки </t>
  </si>
  <si>
    <t>Рентабельность, 15 %</t>
  </si>
  <si>
    <t>В2-2</t>
  </si>
  <si>
    <t>В3-4</t>
  </si>
  <si>
    <t>В4-2</t>
  </si>
  <si>
    <t>Фиброэзофагогастродуоденоскопия</t>
  </si>
  <si>
    <t>ИТОГО:</t>
  </si>
  <si>
    <t>Фиброгастроскоп</t>
  </si>
  <si>
    <t>Врач</t>
  </si>
  <si>
    <t>Электрокардиографическое исследование (в 12 отведениях) с расшифровкой</t>
  </si>
  <si>
    <t>Электрокардиографическое исследование по Нэбу</t>
  </si>
  <si>
    <t>Электрокардиографическое исследование по Слопаку</t>
  </si>
  <si>
    <t xml:space="preserve">Врач </t>
  </si>
  <si>
    <t xml:space="preserve">Компьютерная кардиологичес. рабочая станция для проведения проб с физичес. нагруз. ЭКГ по 12-ти , 17.06.2014,  13901666 </t>
  </si>
  <si>
    <t>УЗИ гепатобилиопанкреатической области (печень, желчный пузырь, поджелудочная железа, селезенка)</t>
  </si>
  <si>
    <t>УЗИ печени</t>
  </si>
  <si>
    <t>УЗИ желчного пузыря и протоков</t>
  </si>
  <si>
    <t>УЗИ желчного пузыря с определением функций</t>
  </si>
  <si>
    <t>УЗИ селезенки</t>
  </si>
  <si>
    <t>УЗИ поджелудочной железы</t>
  </si>
  <si>
    <t>УЗИ почек</t>
  </si>
  <si>
    <t>УЗИ надпочечников</t>
  </si>
  <si>
    <t>Ультразвуковая диагностика комплексная (печень, желчный пузырь, поджелудочная железа, селезенка, почек)</t>
  </si>
  <si>
    <t>УЗИ органов мочеполовой системы комплексное у мужчин (почки, надпочечники, мочевой пузырь с определением остаточной мочи, предстательная железа, яички)</t>
  </si>
  <si>
    <t>УЗИ почек, мочевого пузыря с определением остаточной мочи</t>
  </si>
  <si>
    <t>УЗИ мочевого пузыря с определением остаточной мочи</t>
  </si>
  <si>
    <t>Трансабдоминальное УЗИ предстательной железы и мочевого пузыря с определением остаточной мочи</t>
  </si>
  <si>
    <t>УЗИ трансректальное предстательной железы</t>
  </si>
  <si>
    <t>УЗИ трансуретральное предстательной железы и мочевого пузыря</t>
  </si>
  <si>
    <t>УЗИ органов мошонки</t>
  </si>
  <si>
    <t>УЗИ щитовидной железы</t>
  </si>
  <si>
    <t>УЗИ молочных желёз</t>
  </si>
  <si>
    <t>УЗИ акушерское в 1 триместре беременности</t>
  </si>
  <si>
    <t>УЗИ акушерское во 2 - 3 триместре беременности</t>
  </si>
  <si>
    <t>Диагностическая флюорография (1 проекция)</t>
  </si>
  <si>
    <t>Диагностическая флюорография (2 проекции)</t>
  </si>
  <si>
    <t>Рентгенография черепа (2 проекции)</t>
  </si>
  <si>
    <t>Рентгенография черепа (1 проекция)</t>
  </si>
  <si>
    <t>Рентгенография турецкого седла</t>
  </si>
  <si>
    <t>Рентгенография костей носа</t>
  </si>
  <si>
    <t>Рентгенография сосцевидных отростков</t>
  </si>
  <si>
    <t>Рентгенография челюсти (1 проекция)</t>
  </si>
  <si>
    <t>Рентгенография челюсти (2 проекциии)</t>
  </si>
  <si>
    <t>Рентгенография зуба внутриротовая</t>
  </si>
  <si>
    <t>Рентгенография зуба внеротовая</t>
  </si>
  <si>
    <t>Рентгенография шейного отдела позвоночника</t>
  </si>
  <si>
    <t>Рентгенография шейного отдела позвоночника с функциональными пробами</t>
  </si>
  <si>
    <t>Рентгенография грудного отдела позвоночника</t>
  </si>
  <si>
    <t>Рентгеноскопия органов грудной клетки</t>
  </si>
  <si>
    <t>Рентгенография обзорная органов грудной клетки (1 проекция)</t>
  </si>
  <si>
    <t>Рентгенография органов грудной клетки (2 проекции)</t>
  </si>
  <si>
    <t>Рентгенография ребер</t>
  </si>
  <si>
    <t>Рентгенография грудины</t>
  </si>
  <si>
    <t>Рентгенография ключицы</t>
  </si>
  <si>
    <t>Рентгенография лопатки</t>
  </si>
  <si>
    <t>Рентгенография сердца с контрастированием пищевода</t>
  </si>
  <si>
    <t>Рентгенография гортани с контрастированием</t>
  </si>
  <si>
    <t>Рентгеноскопия органов брюшной полости</t>
  </si>
  <si>
    <t>Обзорная рентгенография органов брюшной полости</t>
  </si>
  <si>
    <t>Рентгеноскопическое исследование пищевода с контрастированием</t>
  </si>
  <si>
    <t>Рентгеноскопическое исследование желудка с контрастированием (двойное контрастирование)</t>
  </si>
  <si>
    <t>Дуоденография</t>
  </si>
  <si>
    <t>Ирригоскопия/ирригография (двойное контрастирование)</t>
  </si>
  <si>
    <t>Дуоденография с релаксацией</t>
  </si>
  <si>
    <t>Рентгеноскопия тонкой кишки с контрастированием</t>
  </si>
  <si>
    <t>Рентгенография костей плеча</t>
  </si>
  <si>
    <t>Рентгенография костей предплечья</t>
  </si>
  <si>
    <t>Рентгенография локтевого сустава</t>
  </si>
  <si>
    <t>Рентгенография плечевого сустава</t>
  </si>
  <si>
    <t>Рентгенография кисти с захватом лучезапястного сустава</t>
  </si>
  <si>
    <t>Рентгенография кисти</t>
  </si>
  <si>
    <t>Рентгенография пояснично-крестцового отдела позвоночника</t>
  </si>
  <si>
    <t>Рентгенография пояснично-крестцового отдела позвоночника с функциональными пробами</t>
  </si>
  <si>
    <t>Рентгенография костей таза и тазобедренных суставов</t>
  </si>
  <si>
    <t>Рентгенография крестцово-подвздошных сочленений</t>
  </si>
  <si>
    <t>Рентгенография крестцово-копчикового отдела</t>
  </si>
  <si>
    <t>Рентгенография тазобедренного сустава</t>
  </si>
  <si>
    <t>Рентгенография бедренной кости</t>
  </si>
  <si>
    <t>Рентгенография коленного сустава (1 проекция)</t>
  </si>
  <si>
    <t>Рентгенография коленного сустава (2 проекции)</t>
  </si>
  <si>
    <t>Рентгенография голеностопного сустава (1 проекция)</t>
  </si>
  <si>
    <t>Рентгенография голеностопного сустава (2 проекции)</t>
  </si>
  <si>
    <t>Рентгенография костей голени</t>
  </si>
  <si>
    <t>Рентгенография пальцев кисти/стопы</t>
  </si>
  <si>
    <t>Рентгенография стопы</t>
  </si>
  <si>
    <t>Рентгенография стоп в боковой проекции</t>
  </si>
  <si>
    <t>Рентгеноскопический контроль репозиции и фиксации</t>
  </si>
  <si>
    <t>Гистеросальпингография</t>
  </si>
  <si>
    <t>Томография черепа</t>
  </si>
  <si>
    <t>Маммография (4 снимка)</t>
  </si>
  <si>
    <t>Прицельная маммография (1 проекция)</t>
  </si>
  <si>
    <t xml:space="preserve">Фонд оплаты труда, прямые расходы </t>
  </si>
  <si>
    <t>Справка Ф075/У (медицинская справка)</t>
  </si>
  <si>
    <r>
      <rPr>
        <b/>
        <sz val="10"/>
        <color theme="1"/>
        <rFont val="Times New Roman"/>
        <family val="1"/>
        <charset val="204"/>
      </rPr>
      <t>Справка Ф075/У</t>
    </r>
    <r>
      <rPr>
        <b/>
        <sz val="14"/>
        <color theme="1"/>
        <rFont val="Times New Roman"/>
        <family val="1"/>
        <charset val="204"/>
      </rPr>
      <t xml:space="preserve">                                  Расходные материалы</t>
    </r>
  </si>
  <si>
    <t>Справка Ф076/У (за хренение оружия)</t>
  </si>
  <si>
    <t>Лаборант РВ анализ</t>
  </si>
  <si>
    <t>Справка Ф075/У</t>
  </si>
  <si>
    <t>Справка Ф076/У</t>
  </si>
  <si>
    <r>
      <rPr>
        <b/>
        <sz val="10"/>
        <color theme="1"/>
        <rFont val="Times New Roman"/>
        <family val="1"/>
        <charset val="204"/>
      </rPr>
      <t>Справка Ф083/у</t>
    </r>
    <r>
      <rPr>
        <b/>
        <sz val="14"/>
        <color theme="1"/>
        <rFont val="Times New Roman"/>
        <family val="1"/>
        <charset val="204"/>
      </rPr>
      <t xml:space="preserve">                                  Расходные материалы</t>
    </r>
  </si>
  <si>
    <t>Прескурант цен на выполнение платных медицинских услуг</t>
  </si>
  <si>
    <t xml:space="preserve">Наименование услуги </t>
  </si>
  <si>
    <t xml:space="preserve">Сумму </t>
  </si>
  <si>
    <t>У Т В Е Р Ж Д А Ю</t>
  </si>
  <si>
    <t xml:space="preserve"> районная больница"</t>
  </si>
  <si>
    <t>_________________Шулгаубаев А.К.</t>
  </si>
  <si>
    <t xml:space="preserve">Тест для определения алкогольного опьянения </t>
  </si>
  <si>
    <t>За сверхурочное  50%</t>
  </si>
  <si>
    <t>За выездной характер работы   50%</t>
  </si>
  <si>
    <t>ИТОГО</t>
  </si>
  <si>
    <t>Шприц 5мл инъекц.3х-комп.стер.</t>
  </si>
  <si>
    <t>Спирт этиловый 70%</t>
  </si>
  <si>
    <t>Вата медицинская нестер.100г</t>
  </si>
  <si>
    <t xml:space="preserve">Система д/влив.инфуз.р-ров </t>
  </si>
  <si>
    <t>Процедура процедурного кабинета по услуги внутремышечного укола</t>
  </si>
  <si>
    <t>Процедура процедурного кабинета по услуги внутревенного укола</t>
  </si>
  <si>
    <t xml:space="preserve">Процедура процедурного кабинета по услуги внутревенного системного вливания </t>
  </si>
  <si>
    <t>"_________"_____________2022г.</t>
  </si>
  <si>
    <t>Управления здравоохранения области Жетісу</t>
  </si>
  <si>
    <t>Коэф-нт. Должн. Оклад</t>
  </si>
  <si>
    <t>Директор ГКП на ПХВ "Сарканская</t>
  </si>
  <si>
    <t xml:space="preserve">ГКП на ПХВ «Сарканкая Центральная районная больница» </t>
  </si>
  <si>
    <t>Управления здравоохранения по Области Жетісу</t>
  </si>
  <si>
    <t>центральная районная больница"</t>
  </si>
  <si>
    <t xml:space="preserve"> централная районная больница"</t>
  </si>
  <si>
    <t xml:space="preserve">ГКП на ПХВ «Сарканская Центральная районная больница» </t>
  </si>
  <si>
    <t>Потребляемая номинальная мощность(Ква)</t>
  </si>
  <si>
    <t>Стерилизатор паровой ГК-100-3</t>
  </si>
  <si>
    <t>Электроэнергия</t>
  </si>
  <si>
    <t>Идилова Н.М</t>
  </si>
  <si>
    <t>"_________"_____________2024г.</t>
  </si>
  <si>
    <t>Стелилизация мед-х биксов</t>
  </si>
  <si>
    <t>"______"________________2024г.</t>
  </si>
  <si>
    <t xml:space="preserve">              Экономист               _________________ Иманберлинова А.О</t>
  </si>
  <si>
    <t>Главный бухгатер _________________ Идилова Н.М</t>
  </si>
  <si>
    <t>Иманберлинова А.О</t>
  </si>
  <si>
    <t>Водитель</t>
  </si>
  <si>
    <t>Мед осмотр</t>
  </si>
  <si>
    <t>Передвижной медицинский комплекс</t>
  </si>
  <si>
    <t>диз топливо</t>
  </si>
  <si>
    <t>Потребностьна 1 исследовани</t>
  </si>
  <si>
    <t>Стои-мость  часа (среднее кол-во раб.часов в месяц - 150)</t>
  </si>
  <si>
    <t>Потребляемая расход диз топливо</t>
  </si>
  <si>
    <t>Стои-мость  часа (среднее кол-во раб.часов в месяц - 156)</t>
  </si>
  <si>
    <t>за июнь месяц</t>
  </si>
  <si>
    <t>за май месяц</t>
  </si>
  <si>
    <t>__________________________</t>
  </si>
  <si>
    <t>_____________________________</t>
  </si>
  <si>
    <t>______________________</t>
  </si>
  <si>
    <t>Предрейсовый медицинский осмотр</t>
  </si>
  <si>
    <t>Управления здравоохранения области Жетысу</t>
  </si>
  <si>
    <t>"_________"_____________2025г.</t>
  </si>
  <si>
    <t>Предрейсовый  медицинский осмотр</t>
  </si>
  <si>
    <t>"______"________________2025г.</t>
  </si>
  <si>
    <t xml:space="preserve">              Экономист               _________________ Иманберлинова А.О.</t>
  </si>
  <si>
    <t>Иманберлинова А.О.</t>
  </si>
  <si>
    <t>Идилова Н.М.</t>
  </si>
  <si>
    <t>Главный бухгатер _________________ Идилова Н.М.</t>
  </si>
  <si>
    <t>Управления здравоохранения  области Жетысу</t>
  </si>
  <si>
    <t xml:space="preserve">Сюда поставишь аппарат </t>
  </si>
  <si>
    <t xml:space="preserve">он же на балансе стоит </t>
  </si>
  <si>
    <t xml:space="preserve">и здесь сумма измениться </t>
  </si>
  <si>
    <t xml:space="preserve">итог какая будет </t>
  </si>
  <si>
    <t>у шефа спроси сколько надо поставить</t>
  </si>
  <si>
    <t>е</t>
  </si>
  <si>
    <t>его не будет</t>
  </si>
  <si>
    <t xml:space="preserve">5000 поставь пока хватит </t>
  </si>
  <si>
    <t xml:space="preserve">с </t>
  </si>
  <si>
    <t>Экономист               _________________ Иманберлинова А.О</t>
  </si>
  <si>
    <t>Прейскурант цен на выполнение платных медицинских услуг</t>
  </si>
  <si>
    <t>Личная санитарно-медицинская книжка</t>
  </si>
  <si>
    <t>Медицинская справка (врачебное профессионально-консультативное заключение)Форма 075/У</t>
  </si>
  <si>
    <t>Медицинская справка (о допуске к управлению транспортным средством)Форма 073/У</t>
  </si>
  <si>
    <t xml:space="preserve">Медицинская справка (для получение разрешения на приобретение,хранение и ношение гражданского и служебного оружия)Форма 076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</si>
</sst>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0.0"/>
    <numFmt numFmtId="166" formatCode="#,##0.0000"/>
    <numFmt numFmtId="167" formatCode="#,##0.00;[Red]#,##0.00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8" fillId="0" borderId="0"/>
    <xf numFmtId="0" fontId="18" fillId="0" borderId="0"/>
  </cellStyleXfs>
  <cellXfs count="408">
    <xf numFmtId="0" fontId="0" fillId="0" borderId="0" xfId="0"/>
    <xf numFmtId="0" fontId="0" fillId="0" borderId="0" xfId="0"/>
    <xf numFmtId="0" fontId="0" fillId="2" borderId="0" xfId="0" applyFill="1"/>
    <xf numFmtId="0" fontId="1" fillId="0" borderId="3" xfId="0" applyNumberFormat="1" applyFont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5" fillId="2" borderId="0" xfId="1" applyFill="1"/>
    <xf numFmtId="0" fontId="4" fillId="2" borderId="0" xfId="1" applyFont="1" applyFill="1" applyAlignment="1">
      <alignment wrapText="1"/>
    </xf>
    <xf numFmtId="4" fontId="4" fillId="2" borderId="0" xfId="1" applyNumberFormat="1" applyFont="1" applyFill="1"/>
    <xf numFmtId="0" fontId="10" fillId="2" borderId="0" xfId="0" applyFont="1" applyFill="1"/>
    <xf numFmtId="0" fontId="4" fillId="2" borderId="0" xfId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2" fillId="0" borderId="0" xfId="1" applyFont="1" applyAlignment="1">
      <alignment horizontal="center"/>
    </xf>
    <xf numFmtId="4" fontId="2" fillId="0" borderId="9" xfId="1" applyNumberFormat="1" applyFont="1" applyBorder="1" applyAlignment="1">
      <alignment horizontal="center" vertical="top" wrapText="1"/>
    </xf>
    <xf numFmtId="4" fontId="2" fillId="0" borderId="4" xfId="1" applyNumberFormat="1" applyFont="1" applyBorder="1" applyAlignment="1">
      <alignment horizontal="center" vertical="top" wrapText="1"/>
    </xf>
    <xf numFmtId="4" fontId="2" fillId="0" borderId="14" xfId="1" applyNumberFormat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 wrapText="1"/>
    </xf>
    <xf numFmtId="3" fontId="2" fillId="0" borderId="16" xfId="1" applyNumberFormat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left" vertical="center" wrapText="1"/>
    </xf>
    <xf numFmtId="1" fontId="6" fillId="2" borderId="19" xfId="1" applyNumberFormat="1" applyFont="1" applyFill="1" applyBorder="1" applyAlignment="1">
      <alignment horizontal="center" vertical="center"/>
    </xf>
    <xf numFmtId="164" fontId="6" fillId="2" borderId="19" xfId="1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" fillId="0" borderId="0" xfId="1" applyFont="1" applyBorder="1" applyAlignment="1">
      <alignment horizontal="justify" vertical="top" wrapText="1"/>
    </xf>
    <xf numFmtId="3" fontId="4" fillId="0" borderId="0" xfId="1" applyNumberFormat="1" applyFont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3" fontId="14" fillId="2" borderId="23" xfId="0" applyNumberFormat="1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0" fillId="0" borderId="0" xfId="0" applyFont="1"/>
    <xf numFmtId="0" fontId="15" fillId="0" borderId="0" xfId="0" applyFont="1"/>
    <xf numFmtId="0" fontId="8" fillId="0" borderId="0" xfId="0" applyFont="1"/>
    <xf numFmtId="0" fontId="2" fillId="0" borderId="0" xfId="1" applyFont="1" applyAlignment="1">
      <alignment horizontal="left"/>
    </xf>
    <xf numFmtId="0" fontId="11" fillId="0" borderId="0" xfId="1" applyFont="1" applyAlignment="1">
      <alignment horizontal="left" wrapText="1"/>
    </xf>
    <xf numFmtId="4" fontId="11" fillId="0" borderId="0" xfId="1" applyNumberFormat="1" applyFont="1" applyBorder="1"/>
    <xf numFmtId="4" fontId="11" fillId="0" borderId="0" xfId="1" applyNumberFormat="1" applyFont="1" applyFill="1" applyBorder="1"/>
    <xf numFmtId="1" fontId="11" fillId="2" borderId="0" xfId="1" applyNumberFormat="1" applyFont="1" applyFill="1"/>
    <xf numFmtId="0" fontId="7" fillId="0" borderId="0" xfId="0" applyFont="1"/>
    <xf numFmtId="0" fontId="14" fillId="0" borderId="34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3" fontId="14" fillId="2" borderId="40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7" fillId="0" borderId="0" xfId="0" applyNumberFormat="1" applyFont="1"/>
    <xf numFmtId="0" fontId="6" fillId="0" borderId="0" xfId="1" applyFont="1" applyAlignment="1">
      <alignment horizontal="left"/>
    </xf>
    <xf numFmtId="4" fontId="6" fillId="0" borderId="0" xfId="1" applyNumberFormat="1" applyFont="1" applyBorder="1"/>
    <xf numFmtId="0" fontId="6" fillId="0" borderId="0" xfId="1" applyFont="1" applyAlignment="1">
      <alignment horizontal="left" wrapText="1"/>
    </xf>
    <xf numFmtId="1" fontId="6" fillId="2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4" fillId="0" borderId="44" xfId="0" applyFont="1" applyBorder="1" applyAlignment="1">
      <alignment vertical="center" wrapText="1"/>
    </xf>
    <xf numFmtId="0" fontId="14" fillId="0" borderId="44" xfId="0" applyFont="1" applyBorder="1" applyAlignment="1">
      <alignment horizontal="center" vertical="center" wrapText="1"/>
    </xf>
    <xf numFmtId="3" fontId="14" fillId="2" borderId="44" xfId="0" applyNumberFormat="1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3" fontId="14" fillId="2" borderId="25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vertical="center" wrapText="1"/>
    </xf>
    <xf numFmtId="3" fontId="14" fillId="2" borderId="27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/>
    </xf>
    <xf numFmtId="3" fontId="13" fillId="2" borderId="20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49" xfId="1" applyFont="1" applyBorder="1" applyAlignment="1">
      <alignment horizontal="center"/>
    </xf>
    <xf numFmtId="0" fontId="2" fillId="0" borderId="50" xfId="1" applyFont="1" applyBorder="1" applyAlignment="1">
      <alignment horizontal="center" wrapText="1"/>
    </xf>
    <xf numFmtId="0" fontId="0" fillId="0" borderId="0" xfId="0"/>
    <xf numFmtId="0" fontId="0" fillId="2" borderId="0" xfId="0" applyFill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5" fillId="2" borderId="0" xfId="1" applyFill="1"/>
    <xf numFmtId="0" fontId="4" fillId="2" borderId="0" xfId="1" applyFont="1" applyFill="1" applyAlignment="1">
      <alignment wrapText="1"/>
    </xf>
    <xf numFmtId="4" fontId="4" fillId="2" borderId="0" xfId="1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2" fillId="0" borderId="0" xfId="1" applyFont="1" applyAlignment="1">
      <alignment horizontal="center"/>
    </xf>
    <xf numFmtId="4" fontId="2" fillId="0" borderId="9" xfId="1" applyNumberFormat="1" applyFont="1" applyBorder="1" applyAlignment="1">
      <alignment horizontal="center" vertical="top" wrapText="1"/>
    </xf>
    <xf numFmtId="4" fontId="2" fillId="0" borderId="4" xfId="1" applyNumberFormat="1" applyFont="1" applyBorder="1" applyAlignment="1">
      <alignment horizontal="center" vertical="top" wrapText="1"/>
    </xf>
    <xf numFmtId="4" fontId="2" fillId="0" borderId="14" xfId="1" applyNumberFormat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1" fontId="6" fillId="2" borderId="19" xfId="1" applyNumberFormat="1" applyFont="1" applyFill="1" applyBorder="1" applyAlignment="1">
      <alignment horizontal="center" vertical="center"/>
    </xf>
    <xf numFmtId="164" fontId="6" fillId="2" borderId="19" xfId="1" applyNumberFormat="1" applyFont="1" applyFill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 wrapText="1"/>
    </xf>
    <xf numFmtId="1" fontId="4" fillId="2" borderId="0" xfId="1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/>
    <xf numFmtId="0" fontId="4" fillId="0" borderId="26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27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27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left" vertical="center" wrapText="1"/>
    </xf>
    <xf numFmtId="0" fontId="1" fillId="0" borderId="19" xfId="0" applyFont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center" vertical="center"/>
      <protection locked="0"/>
    </xf>
    <xf numFmtId="3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top" wrapText="1"/>
    </xf>
    <xf numFmtId="3" fontId="1" fillId="2" borderId="27" xfId="0" applyNumberFormat="1" applyFont="1" applyFill="1" applyBorder="1" applyAlignment="1">
      <alignment horizontal="center" vertical="center"/>
    </xf>
    <xf numFmtId="0" fontId="10" fillId="0" borderId="0" xfId="0" applyFont="1"/>
    <xf numFmtId="0" fontId="15" fillId="0" borderId="0" xfId="0" applyFont="1"/>
    <xf numFmtId="0" fontId="8" fillId="0" borderId="0" xfId="0" applyFont="1"/>
    <xf numFmtId="0" fontId="2" fillId="0" borderId="0" xfId="1" applyFont="1" applyAlignment="1">
      <alignment horizontal="left"/>
    </xf>
    <xf numFmtId="0" fontId="11" fillId="0" borderId="0" xfId="1" applyFont="1" applyAlignment="1">
      <alignment horizontal="left" wrapText="1"/>
    </xf>
    <xf numFmtId="4" fontId="11" fillId="0" borderId="0" xfId="1" applyNumberFormat="1" applyFont="1" applyBorder="1"/>
    <xf numFmtId="4" fontId="11" fillId="0" borderId="0" xfId="1" applyNumberFormat="1" applyFont="1" applyFill="1" applyBorder="1"/>
    <xf numFmtId="1" fontId="11" fillId="2" borderId="0" xfId="1" applyNumberFormat="1" applyFont="1" applyFill="1"/>
    <xf numFmtId="0" fontId="7" fillId="0" borderId="0" xfId="0" applyFont="1"/>
    <xf numFmtId="9" fontId="4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7" fillId="0" borderId="0" xfId="0" applyNumberFormat="1" applyFont="1"/>
    <xf numFmtId="0" fontId="6" fillId="0" borderId="0" xfId="1" applyFont="1" applyAlignment="1">
      <alignment horizontal="left"/>
    </xf>
    <xf numFmtId="4" fontId="6" fillId="0" borderId="0" xfId="1" applyNumberFormat="1" applyFont="1" applyBorder="1"/>
    <xf numFmtId="0" fontId="6" fillId="0" borderId="0" xfId="1" applyFont="1" applyAlignment="1">
      <alignment horizontal="left" wrapText="1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3" fontId="2" fillId="0" borderId="50" xfId="1" applyNumberFormat="1" applyFont="1" applyBorder="1" applyAlignment="1">
      <alignment horizontal="center"/>
    </xf>
    <xf numFmtId="0" fontId="2" fillId="0" borderId="50" xfId="1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6" fillId="2" borderId="44" xfId="1" applyNumberFormat="1" applyFont="1" applyFill="1" applyBorder="1" applyAlignment="1">
      <alignment horizontal="center" vertical="center"/>
    </xf>
    <xf numFmtId="164" fontId="6" fillId="2" borderId="44" xfId="1" applyNumberFormat="1" applyFont="1" applyFill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52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 wrapText="1"/>
    </xf>
    <xf numFmtId="1" fontId="7" fillId="0" borderId="25" xfId="0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top" wrapText="1"/>
    </xf>
    <xf numFmtId="0" fontId="1" fillId="0" borderId="0" xfId="1" applyFont="1" applyAlignment="1">
      <alignment horizontal="right"/>
    </xf>
    <xf numFmtId="0" fontId="10" fillId="0" borderId="0" xfId="0" applyFont="1" applyBorder="1" applyAlignment="1">
      <alignment vertical="center"/>
    </xf>
    <xf numFmtId="0" fontId="1" fillId="0" borderId="32" xfId="0" applyNumberFormat="1" applyFont="1" applyBorder="1" applyAlignment="1">
      <alignment horizontal="center" vertical="center" wrapText="1"/>
    </xf>
    <xf numFmtId="165" fontId="1" fillId="2" borderId="14" xfId="0" applyNumberFormat="1" applyFont="1" applyFill="1" applyBorder="1" applyAlignment="1">
      <alignment horizontal="center" vertical="center" wrapText="1"/>
    </xf>
    <xf numFmtId="0" fontId="1" fillId="2" borderId="43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165" fontId="1" fillId="0" borderId="53" xfId="0" applyNumberFormat="1" applyFont="1" applyBorder="1" applyAlignment="1">
      <alignment horizontal="center" vertical="center" wrapText="1"/>
    </xf>
    <xf numFmtId="165" fontId="1" fillId="2" borderId="37" xfId="0" applyNumberFormat="1" applyFont="1" applyFill="1" applyBorder="1" applyAlignment="1">
      <alignment horizontal="center" vertical="center" wrapText="1"/>
    </xf>
    <xf numFmtId="165" fontId="1" fillId="0" borderId="43" xfId="0" applyNumberFormat="1" applyFont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165" fontId="1" fillId="2" borderId="33" xfId="0" applyNumberFormat="1" applyFont="1" applyFill="1" applyBorder="1" applyAlignment="1">
      <alignment horizontal="center" vertical="center" wrapText="1"/>
    </xf>
    <xf numFmtId="0" fontId="4" fillId="0" borderId="42" xfId="0" applyFont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9" fontId="0" fillId="0" borderId="0" xfId="0" applyNumberFormat="1"/>
    <xf numFmtId="167" fontId="4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13" fillId="0" borderId="21" xfId="0" applyFont="1" applyBorder="1" applyAlignment="1">
      <alignment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0" borderId="42" xfId="0" applyFont="1" applyBorder="1" applyAlignment="1">
      <alignment vertical="center" wrapText="1"/>
    </xf>
    <xf numFmtId="0" fontId="14" fillId="0" borderId="42" xfId="0" applyFont="1" applyBorder="1" applyAlignment="1">
      <alignment horizontal="center" vertical="center" wrapText="1"/>
    </xf>
    <xf numFmtId="3" fontId="14" fillId="2" borderId="42" xfId="0" applyNumberFormat="1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10" fillId="0" borderId="0" xfId="0" applyFont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4" fontId="14" fillId="2" borderId="16" xfId="0" applyNumberFormat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left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Font="1"/>
    <xf numFmtId="4" fontId="13" fillId="2" borderId="16" xfId="0" applyNumberFormat="1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" fontId="1" fillId="0" borderId="1" xfId="1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2" fillId="2" borderId="1" xfId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 applyProtection="1">
      <alignment horizontal="center" vertical="center"/>
    </xf>
    <xf numFmtId="0" fontId="14" fillId="0" borderId="5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7" xfId="0" applyFont="1" applyBorder="1" applyAlignment="1">
      <alignment horizontal="center"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3" fontId="14" fillId="2" borderId="58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2" borderId="0" xfId="1" applyFont="1" applyFill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vertical="center" wrapText="1"/>
    </xf>
    <xf numFmtId="167" fontId="4" fillId="2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4" fillId="2" borderId="42" xfId="0" applyFont="1" applyFill="1" applyBorder="1" applyAlignment="1" applyProtection="1">
      <alignment horizontal="center"/>
      <protection locked="0"/>
    </xf>
    <xf numFmtId="0" fontId="3" fillId="2" borderId="42" xfId="0" applyFont="1" applyFill="1" applyBorder="1" applyAlignment="1">
      <alignment vertical="center" wrapText="1"/>
    </xf>
    <xf numFmtId="4" fontId="4" fillId="2" borderId="42" xfId="0" applyNumberFormat="1" applyFont="1" applyFill="1" applyBorder="1" applyAlignment="1" applyProtection="1">
      <alignment horizontal="center" vertical="center"/>
      <protection locked="0"/>
    </xf>
    <xf numFmtId="167" fontId="4" fillId="2" borderId="42" xfId="0" applyNumberFormat="1" applyFont="1" applyFill="1" applyBorder="1" applyAlignment="1">
      <alignment horizontal="center"/>
    </xf>
    <xf numFmtId="4" fontId="4" fillId="2" borderId="42" xfId="0" applyNumberFormat="1" applyFont="1" applyFill="1" applyBorder="1" applyAlignment="1" applyProtection="1">
      <alignment horizontal="center" vertical="center"/>
    </xf>
    <xf numFmtId="0" fontId="16" fillId="0" borderId="57" xfId="0" applyFont="1" applyBorder="1"/>
    <xf numFmtId="3" fontId="16" fillId="0" borderId="58" xfId="0" applyNumberFormat="1" applyFont="1" applyBorder="1"/>
    <xf numFmtId="3" fontId="16" fillId="0" borderId="58" xfId="0" applyNumberFormat="1" applyFont="1" applyBorder="1" applyAlignment="1">
      <alignment horizontal="center"/>
    </xf>
    <xf numFmtId="0" fontId="4" fillId="0" borderId="59" xfId="2" applyNumberFormat="1" applyFont="1" applyBorder="1" applyAlignment="1">
      <alignment vertical="top" wrapText="1" indent="2"/>
    </xf>
    <xf numFmtId="0" fontId="4" fillId="0" borderId="59" xfId="3" applyNumberFormat="1" applyFont="1" applyBorder="1" applyAlignment="1">
      <alignment vertical="top" wrapText="1" indent="2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Border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1" fillId="0" borderId="0" xfId="1" applyFont="1" applyAlignment="1"/>
    <xf numFmtId="0" fontId="11" fillId="0" borderId="0" xfId="1" applyFont="1" applyAlignment="1">
      <alignment vertical="center" wrapText="1" shrinkToFit="1"/>
    </xf>
    <xf numFmtId="0" fontId="10" fillId="2" borderId="0" xfId="0" applyFont="1" applyFill="1" applyAlignment="1"/>
    <xf numFmtId="0" fontId="19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13" fillId="0" borderId="16" xfId="0" applyFont="1" applyBorder="1" applyAlignment="1">
      <alignment horizontal="center" vertical="center" wrapText="1"/>
    </xf>
    <xf numFmtId="3" fontId="16" fillId="0" borderId="7" xfId="0" applyNumberFormat="1" applyFont="1" applyBorder="1"/>
    <xf numFmtId="0" fontId="0" fillId="0" borderId="56" xfId="0" applyBorder="1"/>
    <xf numFmtId="4" fontId="16" fillId="0" borderId="58" xfId="0" applyNumberFormat="1" applyFont="1" applyBorder="1"/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4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2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4" borderId="42" xfId="0" applyFont="1" applyFill="1" applyBorder="1" applyAlignment="1" applyProtection="1">
      <alignment horizontal="center"/>
      <protection locked="0"/>
    </xf>
    <xf numFmtId="0" fontId="3" fillId="4" borderId="42" xfId="0" applyFont="1" applyFill="1" applyBorder="1" applyAlignment="1">
      <alignment vertical="center" wrapText="1"/>
    </xf>
    <xf numFmtId="4" fontId="4" fillId="4" borderId="42" xfId="0" applyNumberFormat="1" applyFont="1" applyFill="1" applyBorder="1" applyAlignment="1" applyProtection="1">
      <alignment horizontal="center" vertical="center"/>
      <protection locked="0"/>
    </xf>
    <xf numFmtId="167" fontId="4" fillId="4" borderId="42" xfId="0" applyNumberFormat="1" applyFont="1" applyFill="1" applyBorder="1" applyAlignment="1">
      <alignment horizontal="center"/>
    </xf>
    <xf numFmtId="4" fontId="4" fillId="4" borderId="4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11" fillId="0" borderId="0" xfId="1" applyFont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54" xfId="0" applyBorder="1" applyAlignment="1">
      <alignment horizontal="left" wrapText="1"/>
    </xf>
    <xf numFmtId="0" fontId="0" fillId="0" borderId="5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4" fontId="0" fillId="0" borderId="54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6" fontId="0" fillId="0" borderId="54" xfId="0" applyNumberFormat="1" applyBorder="1" applyAlignment="1">
      <alignment horizontal="center"/>
    </xf>
    <xf numFmtId="166" fontId="0" fillId="0" borderId="55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2" xfId="0" applyBorder="1" applyAlignment="1">
      <alignment horizontal="center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left" vertical="center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2" fontId="1" fillId="0" borderId="12" xfId="0" applyNumberFormat="1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2" fontId="1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right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 wrapText="1" shrinkToFi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4" fontId="2" fillId="0" borderId="14" xfId="1" applyNumberFormat="1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top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9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60" xfId="0" applyFont="1" applyBorder="1" applyAlignment="1">
      <alignment horizontal="left"/>
    </xf>
    <xf numFmtId="0" fontId="7" fillId="0" borderId="6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_Кардио" xfId="3"/>
    <cellStyle name="Обычный_Консультаци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1" sqref="E21:I21"/>
    </sheetView>
  </sheetViews>
  <sheetFormatPr defaultRowHeight="15" x14ac:dyDescent="0.25"/>
  <sheetData>
    <row r="1" spans="1:9" x14ac:dyDescent="0.25">
      <c r="A1" s="310"/>
      <c r="B1" s="310"/>
      <c r="C1" s="310"/>
      <c r="D1" s="89"/>
      <c r="E1" s="89"/>
      <c r="F1" s="89"/>
      <c r="G1" s="311" t="s">
        <v>80</v>
      </c>
      <c r="H1" s="311"/>
      <c r="I1" s="311"/>
    </row>
    <row r="2" spans="1:9" x14ac:dyDescent="0.25">
      <c r="A2" s="310"/>
      <c r="B2" s="310"/>
      <c r="C2" s="310"/>
      <c r="D2" s="89"/>
      <c r="E2" s="89"/>
      <c r="F2" s="89"/>
      <c r="G2" s="311" t="s">
        <v>81</v>
      </c>
      <c r="H2" s="311"/>
      <c r="I2" s="311"/>
    </row>
    <row r="3" spans="1:9" x14ac:dyDescent="0.25">
      <c r="A3" s="310"/>
      <c r="B3" s="310"/>
      <c r="C3" s="310"/>
      <c r="D3" s="89"/>
      <c r="E3" s="89"/>
      <c r="F3" s="89"/>
      <c r="G3" s="311" t="s">
        <v>82</v>
      </c>
      <c r="H3" s="311"/>
      <c r="I3" s="311"/>
    </row>
    <row r="4" spans="1:9" x14ac:dyDescent="0.25">
      <c r="A4" s="310"/>
      <c r="B4" s="310"/>
      <c r="C4" s="310"/>
      <c r="D4" s="89"/>
      <c r="E4" s="89"/>
      <c r="F4" s="89"/>
      <c r="G4" s="311" t="s">
        <v>83</v>
      </c>
      <c r="H4" s="311"/>
      <c r="I4" s="311"/>
    </row>
    <row r="5" spans="1:9" x14ac:dyDescent="0.25">
      <c r="A5" s="310"/>
      <c r="B5" s="310"/>
      <c r="C5" s="310"/>
      <c r="D5" s="89"/>
      <c r="E5" s="89"/>
      <c r="F5" s="89"/>
      <c r="G5" s="311" t="s">
        <v>84</v>
      </c>
      <c r="H5" s="311"/>
      <c r="I5" s="311"/>
    </row>
    <row r="6" spans="1:9" x14ac:dyDescent="0.25">
      <c r="A6" s="310"/>
      <c r="B6" s="310"/>
      <c r="C6" s="310"/>
      <c r="D6" s="89"/>
      <c r="E6" s="89"/>
      <c r="F6" s="89"/>
      <c r="G6" s="311" t="s">
        <v>117</v>
      </c>
      <c r="H6" s="311"/>
      <c r="I6" s="311"/>
    </row>
    <row r="7" spans="1:9" x14ac:dyDescent="0.25">
      <c r="A7" s="178"/>
      <c r="B7" s="178"/>
      <c r="C7" s="178"/>
      <c r="D7" s="89"/>
      <c r="E7" s="89"/>
      <c r="F7" s="89"/>
      <c r="G7" s="89"/>
      <c r="H7" s="89"/>
      <c r="I7" s="89"/>
    </row>
    <row r="8" spans="1:9" ht="33" customHeight="1" x14ac:dyDescent="0.25">
      <c r="A8" s="312" t="s">
        <v>85</v>
      </c>
      <c r="B8" s="312"/>
      <c r="C8" s="312"/>
      <c r="D8" s="312"/>
      <c r="E8" s="312"/>
      <c r="F8" s="312"/>
      <c r="G8" s="312"/>
      <c r="H8" s="312"/>
      <c r="I8" s="312"/>
    </row>
    <row r="9" spans="1:9" x14ac:dyDescent="0.25">
      <c r="A9" s="313" t="s">
        <v>116</v>
      </c>
      <c r="B9" s="313"/>
      <c r="C9" s="313"/>
      <c r="D9" s="313"/>
      <c r="E9" s="313"/>
      <c r="F9" s="313"/>
      <c r="G9" s="313"/>
      <c r="H9" s="313"/>
      <c r="I9" s="313"/>
    </row>
    <row r="10" spans="1:9" x14ac:dyDescent="0.25">
      <c r="A10" s="89"/>
      <c r="B10" s="89"/>
      <c r="C10" s="89"/>
      <c r="D10" s="89"/>
      <c r="E10" s="89"/>
      <c r="F10" s="89"/>
      <c r="G10" s="89"/>
      <c r="H10" s="89"/>
      <c r="I10" s="89"/>
    </row>
    <row r="11" spans="1:9" ht="16.5" customHeight="1" x14ac:dyDescent="0.25">
      <c r="A11" s="310" t="s">
        <v>86</v>
      </c>
      <c r="B11" s="310"/>
      <c r="C11" s="310"/>
      <c r="D11" s="310"/>
      <c r="E11" s="310"/>
      <c r="F11" s="310"/>
      <c r="G11" s="310"/>
      <c r="H11" s="310"/>
      <c r="I11" s="310"/>
    </row>
    <row r="12" spans="1:9" x14ac:dyDescent="0.25">
      <c r="A12" s="310" t="s">
        <v>87</v>
      </c>
      <c r="B12" s="310"/>
      <c r="C12" s="310"/>
      <c r="D12" s="310"/>
      <c r="E12" s="310"/>
      <c r="F12" s="310"/>
      <c r="G12" s="310"/>
      <c r="H12" s="310"/>
      <c r="I12" s="310"/>
    </row>
    <row r="13" spans="1:9" x14ac:dyDescent="0.25">
      <c r="A13" s="89"/>
      <c r="B13" s="89"/>
      <c r="C13" s="89"/>
      <c r="D13" s="89"/>
      <c r="E13" s="89"/>
      <c r="F13" s="89"/>
      <c r="G13" s="89"/>
      <c r="H13" s="89"/>
      <c r="I13" s="89"/>
    </row>
    <row r="14" spans="1:9" ht="32.25" customHeight="1" x14ac:dyDescent="0.25">
      <c r="A14" s="314" t="s">
        <v>88</v>
      </c>
      <c r="B14" s="314"/>
      <c r="C14" s="314"/>
      <c r="D14" s="314"/>
      <c r="E14" s="314"/>
      <c r="F14" s="314"/>
      <c r="G14" s="314"/>
      <c r="H14" s="314"/>
      <c r="I14" s="314"/>
    </row>
    <row r="15" spans="1:9" x14ac:dyDescent="0.25">
      <c r="A15" s="89"/>
      <c r="B15" s="89"/>
      <c r="C15" s="89"/>
      <c r="D15" s="89"/>
      <c r="E15" s="89"/>
      <c r="F15" s="89"/>
      <c r="G15" s="89"/>
      <c r="H15" s="89"/>
      <c r="I15" s="89"/>
    </row>
    <row r="16" spans="1:9" ht="29.25" customHeight="1" x14ac:dyDescent="0.25">
      <c r="A16" s="307" t="s">
        <v>89</v>
      </c>
      <c r="B16" s="308"/>
      <c r="C16" s="308"/>
      <c r="D16" s="309"/>
      <c r="E16" s="307" t="s">
        <v>118</v>
      </c>
      <c r="F16" s="308"/>
      <c r="G16" s="308"/>
      <c r="H16" s="308"/>
      <c r="I16" s="309"/>
    </row>
    <row r="17" spans="1:10" x14ac:dyDescent="0.25">
      <c r="A17" s="295" t="s">
        <v>90</v>
      </c>
      <c r="B17" s="296"/>
      <c r="C17" s="296"/>
      <c r="D17" s="297"/>
      <c r="E17" s="298">
        <v>1394257</v>
      </c>
      <c r="F17" s="299"/>
      <c r="G17" s="299"/>
      <c r="H17" s="299"/>
      <c r="I17" s="300"/>
    </row>
    <row r="18" spans="1:10" x14ac:dyDescent="0.25">
      <c r="A18" s="295" t="s">
        <v>91</v>
      </c>
      <c r="B18" s="296"/>
      <c r="C18" s="296"/>
      <c r="D18" s="297"/>
      <c r="E18" s="298"/>
      <c r="F18" s="299"/>
      <c r="G18" s="299"/>
      <c r="H18" s="299"/>
      <c r="I18" s="300"/>
    </row>
    <row r="19" spans="1:10" x14ac:dyDescent="0.25">
      <c r="A19" s="295" t="s">
        <v>279</v>
      </c>
      <c r="B19" s="296"/>
      <c r="C19" s="296"/>
      <c r="D19" s="297"/>
      <c r="E19" s="298">
        <v>1254831</v>
      </c>
      <c r="F19" s="299"/>
      <c r="G19" s="299"/>
      <c r="H19" s="299"/>
      <c r="I19" s="300"/>
      <c r="J19" s="179"/>
    </row>
    <row r="20" spans="1:10" x14ac:dyDescent="0.25">
      <c r="A20" s="295" t="s">
        <v>10</v>
      </c>
      <c r="B20" s="296"/>
      <c r="C20" s="296"/>
      <c r="D20" s="297"/>
      <c r="E20" s="298">
        <f>E17-E19</f>
        <v>139426</v>
      </c>
      <c r="F20" s="299"/>
      <c r="G20" s="299"/>
      <c r="H20" s="299"/>
      <c r="I20" s="300"/>
      <c r="J20" s="179"/>
    </row>
    <row r="21" spans="1:10" x14ac:dyDescent="0.25">
      <c r="A21" s="295" t="s">
        <v>92</v>
      </c>
      <c r="B21" s="296"/>
      <c r="C21" s="296"/>
      <c r="D21" s="297"/>
      <c r="E21" s="301">
        <f>E20/E17</f>
        <v>0.10000021516836566</v>
      </c>
      <c r="F21" s="302"/>
      <c r="G21" s="302"/>
      <c r="H21" s="302"/>
      <c r="I21" s="303"/>
    </row>
    <row r="22" spans="1:10" x14ac:dyDescent="0.25">
      <c r="A22" s="304"/>
      <c r="B22" s="305"/>
      <c r="C22" s="305"/>
      <c r="D22" s="306"/>
      <c r="E22" s="304"/>
      <c r="F22" s="305"/>
      <c r="G22" s="305"/>
      <c r="H22" s="305"/>
      <c r="I22" s="306"/>
    </row>
    <row r="23" spans="1:10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10" x14ac:dyDescent="0.25">
      <c r="A24" s="89"/>
      <c r="B24" s="89" t="s">
        <v>93</v>
      </c>
      <c r="C24" s="89"/>
      <c r="D24" s="89"/>
      <c r="E24" s="89"/>
      <c r="F24" s="89"/>
      <c r="G24" s="89"/>
      <c r="H24" s="89"/>
      <c r="I24" s="89"/>
    </row>
  </sheetData>
  <mergeCells count="31">
    <mergeCell ref="A1:C1"/>
    <mergeCell ref="G1:I1"/>
    <mergeCell ref="A2:C2"/>
    <mergeCell ref="G2:I2"/>
    <mergeCell ref="A3:C3"/>
    <mergeCell ref="G3:I3"/>
    <mergeCell ref="A16:D16"/>
    <mergeCell ref="E16:I16"/>
    <mergeCell ref="A4:C4"/>
    <mergeCell ref="G4:I4"/>
    <mergeCell ref="A5:C5"/>
    <mergeCell ref="G5:I5"/>
    <mergeCell ref="A6:C6"/>
    <mergeCell ref="G6:I6"/>
    <mergeCell ref="A8:I8"/>
    <mergeCell ref="A9:I9"/>
    <mergeCell ref="A11:I11"/>
    <mergeCell ref="A12:I12"/>
    <mergeCell ref="A14:I14"/>
    <mergeCell ref="A17:D17"/>
    <mergeCell ref="E17:I17"/>
    <mergeCell ref="A18:D18"/>
    <mergeCell ref="E18:I18"/>
    <mergeCell ref="A19:D19"/>
    <mergeCell ref="E19:I19"/>
    <mergeCell ref="A20:D20"/>
    <mergeCell ref="E20:I20"/>
    <mergeCell ref="A21:D21"/>
    <mergeCell ref="E21:I21"/>
    <mergeCell ref="A22:D22"/>
    <mergeCell ref="E22:I2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zoomScaleNormal="100" workbookViewId="0">
      <selection activeCell="A93" sqref="A93:L93"/>
    </sheetView>
  </sheetViews>
  <sheetFormatPr defaultRowHeight="15" x14ac:dyDescent="0.25"/>
  <cols>
    <col min="1" max="1" width="9.140625" style="89"/>
    <col min="2" max="2" width="32.5703125" style="89" customWidth="1"/>
    <col min="3" max="3" width="12.5703125" style="89" customWidth="1"/>
    <col min="4" max="4" width="14.5703125" style="89" customWidth="1"/>
    <col min="5" max="5" width="16.28515625" style="89" bestFit="1" customWidth="1"/>
    <col min="6" max="6" width="14.140625" style="89" bestFit="1" customWidth="1"/>
    <col min="7" max="7" width="11.85546875" style="89" customWidth="1"/>
    <col min="8" max="8" width="12.42578125" style="89" customWidth="1"/>
    <col min="9" max="9" width="9.140625" style="89"/>
    <col min="10" max="10" width="14.7109375" style="89" bestFit="1" customWidth="1"/>
    <col min="11" max="11" width="9.140625" style="89" customWidth="1"/>
    <col min="12" max="12" width="10.42578125" style="89" customWidth="1"/>
    <col min="13" max="13" width="9.85546875" style="89" customWidth="1"/>
    <col min="14" max="14" width="10.5703125" style="89" customWidth="1"/>
    <col min="15" max="16384" width="9.140625" style="89"/>
  </cols>
  <sheetData>
    <row r="1" spans="1:14" ht="18.75" x14ac:dyDescent="0.3">
      <c r="A1" s="94"/>
      <c r="B1" s="95"/>
      <c r="C1" s="96"/>
      <c r="D1" s="96"/>
      <c r="E1" s="94"/>
      <c r="F1" s="94"/>
      <c r="G1" s="96"/>
      <c r="H1" s="392" t="s">
        <v>0</v>
      </c>
      <c r="I1" s="392"/>
      <c r="J1" s="392"/>
      <c r="K1" s="392"/>
      <c r="L1" s="392"/>
      <c r="M1" s="392"/>
      <c r="N1" s="392"/>
    </row>
    <row r="2" spans="1:14" ht="18.75" x14ac:dyDescent="0.3">
      <c r="A2" s="94"/>
      <c r="B2" s="95"/>
      <c r="C2" s="96"/>
      <c r="D2" s="96"/>
      <c r="E2" s="94"/>
      <c r="F2" s="94"/>
      <c r="G2" s="96"/>
      <c r="H2" s="392" t="s">
        <v>1</v>
      </c>
      <c r="I2" s="392"/>
      <c r="J2" s="392"/>
      <c r="K2" s="392"/>
      <c r="L2" s="392"/>
      <c r="M2" s="392"/>
      <c r="N2" s="392"/>
    </row>
    <row r="3" spans="1:14" ht="18.75" x14ac:dyDescent="0.3">
      <c r="A3" s="94"/>
      <c r="B3" s="95"/>
      <c r="C3" s="96"/>
      <c r="D3" s="96"/>
      <c r="E3" s="94"/>
      <c r="F3" s="94"/>
      <c r="G3" s="96"/>
      <c r="H3" s="392" t="s">
        <v>2</v>
      </c>
      <c r="I3" s="392"/>
      <c r="J3" s="392"/>
      <c r="K3" s="392"/>
      <c r="L3" s="392"/>
      <c r="M3" s="392"/>
      <c r="N3" s="392"/>
    </row>
    <row r="4" spans="1:14" ht="18.75" x14ac:dyDescent="0.3">
      <c r="A4" s="94"/>
      <c r="B4" s="95"/>
      <c r="C4" s="96"/>
      <c r="D4" s="96"/>
      <c r="E4" s="94"/>
      <c r="F4" s="94"/>
      <c r="G4" s="96"/>
      <c r="H4" s="392" t="s">
        <v>3</v>
      </c>
      <c r="I4" s="392"/>
      <c r="J4" s="392"/>
      <c r="K4" s="392"/>
      <c r="L4" s="392"/>
      <c r="M4" s="392"/>
      <c r="N4" s="392"/>
    </row>
    <row r="5" spans="1:14" ht="18.75" x14ac:dyDescent="0.3">
      <c r="A5" s="94"/>
      <c r="B5" s="95"/>
      <c r="C5" s="96"/>
      <c r="D5" s="96"/>
      <c r="E5" s="94"/>
      <c r="F5" s="94"/>
      <c r="G5" s="96"/>
      <c r="H5" s="392" t="s">
        <v>112</v>
      </c>
      <c r="I5" s="392"/>
      <c r="J5" s="392"/>
      <c r="K5" s="392"/>
      <c r="L5" s="392"/>
      <c r="M5" s="392"/>
      <c r="N5" s="392"/>
    </row>
    <row r="6" spans="1:14" ht="18.75" x14ac:dyDescent="0.3">
      <c r="A6" s="94"/>
      <c r="B6" s="95"/>
      <c r="C6" s="96"/>
      <c r="D6" s="96"/>
      <c r="E6" s="94"/>
      <c r="F6" s="94"/>
      <c r="G6" s="96"/>
      <c r="H6" s="94"/>
      <c r="I6" s="233"/>
      <c r="J6" s="233"/>
      <c r="K6" s="233"/>
      <c r="L6" s="90"/>
      <c r="M6" s="97"/>
      <c r="N6" s="97"/>
    </row>
    <row r="7" spans="1:14" ht="18.75" x14ac:dyDescent="0.3">
      <c r="A7" s="94"/>
      <c r="B7" s="95"/>
      <c r="C7" s="96"/>
      <c r="D7" s="96"/>
      <c r="E7" s="94"/>
      <c r="F7" s="94"/>
      <c r="G7" s="96"/>
      <c r="H7" s="94"/>
      <c r="I7" s="233"/>
      <c r="J7" s="233"/>
      <c r="K7" s="233"/>
      <c r="L7" s="90"/>
      <c r="M7" s="97"/>
      <c r="N7" s="97"/>
    </row>
    <row r="8" spans="1:14" ht="18.75" x14ac:dyDescent="0.3">
      <c r="A8" s="346" t="s">
        <v>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18.75" x14ac:dyDescent="0.25">
      <c r="A9" s="347" t="s">
        <v>72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</row>
    <row r="10" spans="1:14" ht="18.75" x14ac:dyDescent="0.3">
      <c r="A10" s="346" t="s">
        <v>6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ht="16.5" thickBot="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ht="16.5" customHeight="1" thickBot="1" x14ac:dyDescent="0.3">
      <c r="A12" s="348" t="s">
        <v>7</v>
      </c>
      <c r="B12" s="348" t="s">
        <v>8</v>
      </c>
      <c r="C12" s="351" t="s">
        <v>9</v>
      </c>
      <c r="D12" s="352"/>
      <c r="E12" s="352"/>
      <c r="F12" s="352"/>
      <c r="G12" s="353"/>
      <c r="H12" s="354"/>
      <c r="I12" s="351" t="s">
        <v>10</v>
      </c>
      <c r="J12" s="354"/>
      <c r="K12" s="348" t="s">
        <v>11</v>
      </c>
      <c r="L12" s="355" t="s">
        <v>189</v>
      </c>
      <c r="M12" s="355" t="s">
        <v>13</v>
      </c>
    </row>
    <row r="13" spans="1:14" ht="48" thickBot="1" x14ac:dyDescent="0.3">
      <c r="A13" s="349"/>
      <c r="B13" s="349"/>
      <c r="C13" s="100" t="s">
        <v>14</v>
      </c>
      <c r="D13" s="360" t="s">
        <v>15</v>
      </c>
      <c r="E13" s="361"/>
      <c r="F13" s="362"/>
      <c r="G13" s="363" t="s">
        <v>16</v>
      </c>
      <c r="H13" s="348" t="s">
        <v>17</v>
      </c>
      <c r="I13" s="348" t="s">
        <v>18</v>
      </c>
      <c r="J13" s="348" t="s">
        <v>19</v>
      </c>
      <c r="K13" s="349"/>
      <c r="L13" s="356"/>
      <c r="M13" s="358"/>
    </row>
    <row r="14" spans="1:14" ht="95.25" thickBot="1" x14ac:dyDescent="0.3">
      <c r="A14" s="350"/>
      <c r="B14" s="350"/>
      <c r="C14" s="101" t="s">
        <v>20</v>
      </c>
      <c r="D14" s="102" t="s">
        <v>21</v>
      </c>
      <c r="E14" s="103" t="s">
        <v>22</v>
      </c>
      <c r="F14" s="103" t="s">
        <v>23</v>
      </c>
      <c r="G14" s="364"/>
      <c r="H14" s="350"/>
      <c r="I14" s="350"/>
      <c r="J14" s="350"/>
      <c r="K14" s="350"/>
      <c r="L14" s="357"/>
      <c r="M14" s="359"/>
    </row>
    <row r="15" spans="1:14" ht="15.75" x14ac:dyDescent="0.25">
      <c r="A15" s="23">
        <v>1</v>
      </c>
      <c r="B15" s="24">
        <v>2</v>
      </c>
      <c r="C15" s="25">
        <v>3</v>
      </c>
      <c r="D15" s="25">
        <v>4</v>
      </c>
      <c r="E15" s="26">
        <v>5</v>
      </c>
      <c r="F15" s="26">
        <v>6</v>
      </c>
      <c r="G15" s="25">
        <v>6</v>
      </c>
      <c r="H15" s="26">
        <v>7</v>
      </c>
      <c r="I15" s="26">
        <v>8</v>
      </c>
      <c r="J15" s="26">
        <v>9</v>
      </c>
      <c r="K15" s="26">
        <v>10</v>
      </c>
      <c r="L15" s="27">
        <v>11</v>
      </c>
      <c r="M15" s="28">
        <v>12</v>
      </c>
    </row>
    <row r="16" spans="1:14" ht="31.5" x14ac:dyDescent="0.25">
      <c r="A16" s="216">
        <v>1</v>
      </c>
      <c r="B16" s="218" t="s">
        <v>222</v>
      </c>
      <c r="C16" s="73">
        <v>0</v>
      </c>
      <c r="D16" s="73">
        <f>$N$90</f>
        <v>1753.4632128818955</v>
      </c>
      <c r="E16" s="73">
        <f>D16*11%</f>
        <v>192.8809534170085</v>
      </c>
      <c r="F16" s="73"/>
      <c r="G16" s="73">
        <f>$L$93</f>
        <v>690.05582317073186</v>
      </c>
      <c r="H16" s="73">
        <f>C16+D16+E16+G16</f>
        <v>2636.3999894696358</v>
      </c>
      <c r="I16" s="74">
        <f>Смета!$E$21</f>
        <v>0.10000021516836566</v>
      </c>
      <c r="J16" s="73">
        <f>D16*I16</f>
        <v>175.3466985780033</v>
      </c>
      <c r="K16" s="73">
        <f>H16+J16</f>
        <v>2811.7466880476391</v>
      </c>
      <c r="L16" s="75">
        <f>(K16*15%)</f>
        <v>421.76200320714582</v>
      </c>
      <c r="M16" s="217">
        <f t="shared" ref="M16" si="0">K16+L16</f>
        <v>3233.5086912547849</v>
      </c>
      <c r="N16" s="90"/>
    </row>
    <row r="17" spans="1:14" ht="49.5" customHeight="1" x14ac:dyDescent="0.25">
      <c r="A17" s="216">
        <v>2</v>
      </c>
      <c r="B17" s="218" t="s">
        <v>223</v>
      </c>
      <c r="C17" s="73">
        <v>0</v>
      </c>
      <c r="D17" s="73">
        <f t="shared" ref="D17:D72" si="1">$N$90</f>
        <v>1753.4632128818955</v>
      </c>
      <c r="E17" s="73">
        <f t="shared" ref="E17:E72" si="2">D17*11%</f>
        <v>192.8809534170085</v>
      </c>
      <c r="F17" s="73"/>
      <c r="G17" s="73">
        <f t="shared" ref="G17:G72" si="3">$L$93</f>
        <v>690.05582317073186</v>
      </c>
      <c r="H17" s="73">
        <f t="shared" ref="H17:H72" si="4">C17+D17+E17+G17</f>
        <v>2636.3999894696358</v>
      </c>
      <c r="I17" s="74">
        <f>Смета!$E$21</f>
        <v>0.10000021516836566</v>
      </c>
      <c r="J17" s="73">
        <f t="shared" ref="J17:J72" si="5">D17*I17</f>
        <v>175.3466985780033</v>
      </c>
      <c r="K17" s="73">
        <f t="shared" ref="K17:K72" si="6">H17+J17</f>
        <v>2811.7466880476391</v>
      </c>
      <c r="L17" s="75">
        <f t="shared" ref="L17:L72" si="7">(K17*15%)</f>
        <v>421.76200320714582</v>
      </c>
      <c r="M17" s="217">
        <f t="shared" ref="M17:M72" si="8">K17+L17</f>
        <v>3233.5086912547849</v>
      </c>
      <c r="N17" s="90"/>
    </row>
    <row r="18" spans="1:14" ht="49.5" customHeight="1" x14ac:dyDescent="0.25">
      <c r="A18" s="216">
        <v>3</v>
      </c>
      <c r="B18" s="218" t="s">
        <v>224</v>
      </c>
      <c r="C18" s="73">
        <v>0</v>
      </c>
      <c r="D18" s="73">
        <f t="shared" si="1"/>
        <v>1753.4632128818955</v>
      </c>
      <c r="E18" s="73">
        <f t="shared" si="2"/>
        <v>192.8809534170085</v>
      </c>
      <c r="F18" s="73"/>
      <c r="G18" s="73">
        <f t="shared" si="3"/>
        <v>690.05582317073186</v>
      </c>
      <c r="H18" s="73">
        <f t="shared" si="4"/>
        <v>2636.3999894696358</v>
      </c>
      <c r="I18" s="74">
        <f>Смета!$E$21</f>
        <v>0.10000021516836566</v>
      </c>
      <c r="J18" s="73">
        <f t="shared" si="5"/>
        <v>175.3466985780033</v>
      </c>
      <c r="K18" s="73">
        <f t="shared" si="6"/>
        <v>2811.7466880476391</v>
      </c>
      <c r="L18" s="75">
        <f t="shared" si="7"/>
        <v>421.76200320714582</v>
      </c>
      <c r="M18" s="217">
        <f t="shared" si="8"/>
        <v>3233.5086912547849</v>
      </c>
      <c r="N18" s="90"/>
    </row>
    <row r="19" spans="1:14" ht="49.5" customHeight="1" x14ac:dyDescent="0.25">
      <c r="A19" s="216">
        <v>4</v>
      </c>
      <c r="B19" s="218" t="s">
        <v>225</v>
      </c>
      <c r="C19" s="73">
        <v>0</v>
      </c>
      <c r="D19" s="73">
        <f t="shared" si="1"/>
        <v>1753.4632128818955</v>
      </c>
      <c r="E19" s="73">
        <f t="shared" si="2"/>
        <v>192.8809534170085</v>
      </c>
      <c r="F19" s="73"/>
      <c r="G19" s="73">
        <f t="shared" si="3"/>
        <v>690.05582317073186</v>
      </c>
      <c r="H19" s="73">
        <f t="shared" si="4"/>
        <v>2636.3999894696358</v>
      </c>
      <c r="I19" s="74">
        <f>Смета!$E$21</f>
        <v>0.10000021516836566</v>
      </c>
      <c r="J19" s="73">
        <f t="shared" si="5"/>
        <v>175.3466985780033</v>
      </c>
      <c r="K19" s="73">
        <f t="shared" si="6"/>
        <v>2811.7466880476391</v>
      </c>
      <c r="L19" s="75">
        <f t="shared" si="7"/>
        <v>421.76200320714582</v>
      </c>
      <c r="M19" s="217">
        <f t="shared" si="8"/>
        <v>3233.5086912547849</v>
      </c>
      <c r="N19" s="90"/>
    </row>
    <row r="20" spans="1:14" ht="49.5" customHeight="1" x14ac:dyDescent="0.25">
      <c r="A20" s="216">
        <v>5</v>
      </c>
      <c r="B20" s="218" t="s">
        <v>226</v>
      </c>
      <c r="C20" s="73">
        <v>0</v>
      </c>
      <c r="D20" s="73">
        <f t="shared" si="1"/>
        <v>1753.4632128818955</v>
      </c>
      <c r="E20" s="73">
        <f t="shared" si="2"/>
        <v>192.8809534170085</v>
      </c>
      <c r="F20" s="73"/>
      <c r="G20" s="73">
        <f t="shared" si="3"/>
        <v>690.05582317073186</v>
      </c>
      <c r="H20" s="73">
        <f t="shared" si="4"/>
        <v>2636.3999894696358</v>
      </c>
      <c r="I20" s="74">
        <f>Смета!$E$21</f>
        <v>0.10000021516836566</v>
      </c>
      <c r="J20" s="73">
        <f t="shared" si="5"/>
        <v>175.3466985780033</v>
      </c>
      <c r="K20" s="73">
        <f t="shared" si="6"/>
        <v>2811.7466880476391</v>
      </c>
      <c r="L20" s="75">
        <f t="shared" si="7"/>
        <v>421.76200320714582</v>
      </c>
      <c r="M20" s="217">
        <f t="shared" si="8"/>
        <v>3233.5086912547849</v>
      </c>
      <c r="N20" s="90"/>
    </row>
    <row r="21" spans="1:14" ht="49.5" customHeight="1" x14ac:dyDescent="0.25">
      <c r="A21" s="216">
        <v>6</v>
      </c>
      <c r="B21" s="218" t="s">
        <v>227</v>
      </c>
      <c r="C21" s="73">
        <v>0</v>
      </c>
      <c r="D21" s="73">
        <f t="shared" si="1"/>
        <v>1753.4632128818955</v>
      </c>
      <c r="E21" s="73">
        <f t="shared" si="2"/>
        <v>192.8809534170085</v>
      </c>
      <c r="F21" s="73"/>
      <c r="G21" s="73">
        <f t="shared" si="3"/>
        <v>690.05582317073186</v>
      </c>
      <c r="H21" s="73">
        <f t="shared" si="4"/>
        <v>2636.3999894696358</v>
      </c>
      <c r="I21" s="74">
        <f>Смета!$E$21</f>
        <v>0.10000021516836566</v>
      </c>
      <c r="J21" s="73">
        <f t="shared" si="5"/>
        <v>175.3466985780033</v>
      </c>
      <c r="K21" s="73">
        <f t="shared" si="6"/>
        <v>2811.7466880476391</v>
      </c>
      <c r="L21" s="75">
        <f t="shared" si="7"/>
        <v>421.76200320714582</v>
      </c>
      <c r="M21" s="217">
        <f t="shared" si="8"/>
        <v>3233.5086912547849</v>
      </c>
      <c r="N21" s="90"/>
    </row>
    <row r="22" spans="1:14" ht="49.5" customHeight="1" x14ac:dyDescent="0.25">
      <c r="A22" s="216">
        <v>7</v>
      </c>
      <c r="B22" s="218" t="s">
        <v>228</v>
      </c>
      <c r="C22" s="73">
        <v>0</v>
      </c>
      <c r="D22" s="73">
        <f t="shared" si="1"/>
        <v>1753.4632128818955</v>
      </c>
      <c r="E22" s="73">
        <f t="shared" si="2"/>
        <v>192.8809534170085</v>
      </c>
      <c r="F22" s="73"/>
      <c r="G22" s="73">
        <f t="shared" si="3"/>
        <v>690.05582317073186</v>
      </c>
      <c r="H22" s="73">
        <f t="shared" si="4"/>
        <v>2636.3999894696358</v>
      </c>
      <c r="I22" s="74">
        <f>Смета!$E$21</f>
        <v>0.10000021516836566</v>
      </c>
      <c r="J22" s="73">
        <f t="shared" si="5"/>
        <v>175.3466985780033</v>
      </c>
      <c r="K22" s="73">
        <f t="shared" si="6"/>
        <v>2811.7466880476391</v>
      </c>
      <c r="L22" s="75">
        <f t="shared" si="7"/>
        <v>421.76200320714582</v>
      </c>
      <c r="M22" s="217">
        <f t="shared" si="8"/>
        <v>3233.5086912547849</v>
      </c>
      <c r="N22" s="90"/>
    </row>
    <row r="23" spans="1:14" ht="49.5" customHeight="1" x14ac:dyDescent="0.25">
      <c r="A23" s="216">
        <v>8</v>
      </c>
      <c r="B23" s="218" t="s">
        <v>229</v>
      </c>
      <c r="C23" s="73">
        <v>0</v>
      </c>
      <c r="D23" s="73">
        <f t="shared" si="1"/>
        <v>1753.4632128818955</v>
      </c>
      <c r="E23" s="73">
        <f t="shared" si="2"/>
        <v>192.8809534170085</v>
      </c>
      <c r="F23" s="73"/>
      <c r="G23" s="73">
        <f t="shared" si="3"/>
        <v>690.05582317073186</v>
      </c>
      <c r="H23" s="73">
        <f t="shared" si="4"/>
        <v>2636.3999894696358</v>
      </c>
      <c r="I23" s="74">
        <f>Смета!$E$21</f>
        <v>0.10000021516836566</v>
      </c>
      <c r="J23" s="73">
        <f t="shared" si="5"/>
        <v>175.3466985780033</v>
      </c>
      <c r="K23" s="73">
        <f t="shared" si="6"/>
        <v>2811.7466880476391</v>
      </c>
      <c r="L23" s="75">
        <f t="shared" si="7"/>
        <v>421.76200320714582</v>
      </c>
      <c r="M23" s="217">
        <f t="shared" si="8"/>
        <v>3233.5086912547849</v>
      </c>
      <c r="N23" s="90"/>
    </row>
    <row r="24" spans="1:14" ht="49.5" customHeight="1" x14ac:dyDescent="0.25">
      <c r="A24" s="216">
        <v>9</v>
      </c>
      <c r="B24" s="218" t="s">
        <v>230</v>
      </c>
      <c r="C24" s="73">
        <v>0</v>
      </c>
      <c r="D24" s="73">
        <f t="shared" si="1"/>
        <v>1753.4632128818955</v>
      </c>
      <c r="E24" s="73">
        <f t="shared" si="2"/>
        <v>192.8809534170085</v>
      </c>
      <c r="F24" s="73"/>
      <c r="G24" s="73">
        <f t="shared" si="3"/>
        <v>690.05582317073186</v>
      </c>
      <c r="H24" s="73">
        <f t="shared" si="4"/>
        <v>2636.3999894696358</v>
      </c>
      <c r="I24" s="74">
        <f>Смета!$E$21</f>
        <v>0.10000021516836566</v>
      </c>
      <c r="J24" s="73">
        <f t="shared" si="5"/>
        <v>175.3466985780033</v>
      </c>
      <c r="K24" s="73">
        <f t="shared" si="6"/>
        <v>2811.7466880476391</v>
      </c>
      <c r="L24" s="75">
        <f t="shared" si="7"/>
        <v>421.76200320714582</v>
      </c>
      <c r="M24" s="217">
        <f t="shared" si="8"/>
        <v>3233.5086912547849</v>
      </c>
      <c r="N24" s="90"/>
    </row>
    <row r="25" spans="1:14" ht="49.5" customHeight="1" x14ac:dyDescent="0.25">
      <c r="A25" s="216">
        <v>10</v>
      </c>
      <c r="B25" s="218" t="s">
        <v>231</v>
      </c>
      <c r="C25" s="73">
        <v>0</v>
      </c>
      <c r="D25" s="73">
        <f t="shared" si="1"/>
        <v>1753.4632128818955</v>
      </c>
      <c r="E25" s="73">
        <f t="shared" si="2"/>
        <v>192.8809534170085</v>
      </c>
      <c r="F25" s="73"/>
      <c r="G25" s="73">
        <f t="shared" si="3"/>
        <v>690.05582317073186</v>
      </c>
      <c r="H25" s="73">
        <f t="shared" si="4"/>
        <v>2636.3999894696358</v>
      </c>
      <c r="I25" s="74">
        <f>Смета!$E$21</f>
        <v>0.10000021516836566</v>
      </c>
      <c r="J25" s="73">
        <f t="shared" si="5"/>
        <v>175.3466985780033</v>
      </c>
      <c r="K25" s="73">
        <f t="shared" si="6"/>
        <v>2811.7466880476391</v>
      </c>
      <c r="L25" s="75">
        <f t="shared" si="7"/>
        <v>421.76200320714582</v>
      </c>
      <c r="M25" s="217">
        <f t="shared" si="8"/>
        <v>3233.5086912547849</v>
      </c>
      <c r="N25" s="90"/>
    </row>
    <row r="26" spans="1:14" ht="49.5" customHeight="1" x14ac:dyDescent="0.25">
      <c r="A26" s="216">
        <v>11</v>
      </c>
      <c r="B26" s="218" t="s">
        <v>232</v>
      </c>
      <c r="C26" s="73">
        <v>0</v>
      </c>
      <c r="D26" s="73">
        <f t="shared" si="1"/>
        <v>1753.4632128818955</v>
      </c>
      <c r="E26" s="73">
        <f t="shared" si="2"/>
        <v>192.8809534170085</v>
      </c>
      <c r="F26" s="73"/>
      <c r="G26" s="73">
        <f t="shared" si="3"/>
        <v>690.05582317073186</v>
      </c>
      <c r="H26" s="73">
        <f t="shared" si="4"/>
        <v>2636.3999894696358</v>
      </c>
      <c r="I26" s="74">
        <f>Смета!$E$21</f>
        <v>0.10000021516836566</v>
      </c>
      <c r="J26" s="73">
        <f t="shared" si="5"/>
        <v>175.3466985780033</v>
      </c>
      <c r="K26" s="73">
        <f t="shared" si="6"/>
        <v>2811.7466880476391</v>
      </c>
      <c r="L26" s="75">
        <f t="shared" si="7"/>
        <v>421.76200320714582</v>
      </c>
      <c r="M26" s="217">
        <f t="shared" si="8"/>
        <v>3233.5086912547849</v>
      </c>
      <c r="N26" s="90"/>
    </row>
    <row r="27" spans="1:14" ht="49.5" customHeight="1" x14ac:dyDescent="0.25">
      <c r="A27" s="216">
        <v>12</v>
      </c>
      <c r="B27" s="218" t="s">
        <v>233</v>
      </c>
      <c r="C27" s="73">
        <v>0</v>
      </c>
      <c r="D27" s="73">
        <f t="shared" si="1"/>
        <v>1753.4632128818955</v>
      </c>
      <c r="E27" s="73">
        <f t="shared" si="2"/>
        <v>192.8809534170085</v>
      </c>
      <c r="F27" s="73"/>
      <c r="G27" s="73">
        <f t="shared" si="3"/>
        <v>690.05582317073186</v>
      </c>
      <c r="H27" s="73">
        <f t="shared" si="4"/>
        <v>2636.3999894696358</v>
      </c>
      <c r="I27" s="74">
        <f>Смета!$E$21</f>
        <v>0.10000021516836566</v>
      </c>
      <c r="J27" s="73">
        <f t="shared" si="5"/>
        <v>175.3466985780033</v>
      </c>
      <c r="K27" s="73">
        <f t="shared" si="6"/>
        <v>2811.7466880476391</v>
      </c>
      <c r="L27" s="75">
        <f t="shared" si="7"/>
        <v>421.76200320714582</v>
      </c>
      <c r="M27" s="217">
        <f t="shared" si="8"/>
        <v>3233.5086912547849</v>
      </c>
      <c r="N27" s="90"/>
    </row>
    <row r="28" spans="1:14" ht="49.5" customHeight="1" x14ac:dyDescent="0.25">
      <c r="A28" s="216">
        <v>13</v>
      </c>
      <c r="B28" s="218" t="s">
        <v>234</v>
      </c>
      <c r="C28" s="73">
        <v>0</v>
      </c>
      <c r="D28" s="73">
        <f t="shared" si="1"/>
        <v>1753.4632128818955</v>
      </c>
      <c r="E28" s="73">
        <f t="shared" si="2"/>
        <v>192.8809534170085</v>
      </c>
      <c r="F28" s="73"/>
      <c r="G28" s="73">
        <f t="shared" si="3"/>
        <v>690.05582317073186</v>
      </c>
      <c r="H28" s="73">
        <f t="shared" si="4"/>
        <v>2636.3999894696358</v>
      </c>
      <c r="I28" s="74">
        <f>Смета!$E$21</f>
        <v>0.10000021516836566</v>
      </c>
      <c r="J28" s="73">
        <f t="shared" si="5"/>
        <v>175.3466985780033</v>
      </c>
      <c r="K28" s="73">
        <f t="shared" si="6"/>
        <v>2811.7466880476391</v>
      </c>
      <c r="L28" s="75">
        <f t="shared" si="7"/>
        <v>421.76200320714582</v>
      </c>
      <c r="M28" s="217">
        <f t="shared" si="8"/>
        <v>3233.5086912547849</v>
      </c>
      <c r="N28" s="90"/>
    </row>
    <row r="29" spans="1:14" ht="49.5" customHeight="1" x14ac:dyDescent="0.25">
      <c r="A29" s="216">
        <v>14</v>
      </c>
      <c r="B29" s="218" t="s">
        <v>235</v>
      </c>
      <c r="C29" s="73">
        <v>0</v>
      </c>
      <c r="D29" s="73">
        <f t="shared" si="1"/>
        <v>1753.4632128818955</v>
      </c>
      <c r="E29" s="73">
        <f t="shared" si="2"/>
        <v>192.8809534170085</v>
      </c>
      <c r="F29" s="73"/>
      <c r="G29" s="73">
        <f t="shared" si="3"/>
        <v>690.05582317073186</v>
      </c>
      <c r="H29" s="73">
        <f t="shared" si="4"/>
        <v>2636.3999894696358</v>
      </c>
      <c r="I29" s="74">
        <f>Смета!$E$21</f>
        <v>0.10000021516836566</v>
      </c>
      <c r="J29" s="73">
        <f t="shared" si="5"/>
        <v>175.3466985780033</v>
      </c>
      <c r="K29" s="73">
        <f t="shared" si="6"/>
        <v>2811.7466880476391</v>
      </c>
      <c r="L29" s="75">
        <f t="shared" si="7"/>
        <v>421.76200320714582</v>
      </c>
      <c r="M29" s="217">
        <f t="shared" si="8"/>
        <v>3233.5086912547849</v>
      </c>
      <c r="N29" s="90"/>
    </row>
    <row r="30" spans="1:14" ht="49.5" customHeight="1" x14ac:dyDescent="0.25">
      <c r="A30" s="216">
        <v>15</v>
      </c>
      <c r="B30" s="218" t="s">
        <v>236</v>
      </c>
      <c r="C30" s="73">
        <v>0</v>
      </c>
      <c r="D30" s="73">
        <f t="shared" si="1"/>
        <v>1753.4632128818955</v>
      </c>
      <c r="E30" s="73">
        <f t="shared" si="2"/>
        <v>192.8809534170085</v>
      </c>
      <c r="F30" s="73"/>
      <c r="G30" s="73">
        <f t="shared" si="3"/>
        <v>690.05582317073186</v>
      </c>
      <c r="H30" s="73">
        <f t="shared" si="4"/>
        <v>2636.3999894696358</v>
      </c>
      <c r="I30" s="74">
        <f>Смета!$E$21</f>
        <v>0.10000021516836566</v>
      </c>
      <c r="J30" s="73">
        <f t="shared" si="5"/>
        <v>175.3466985780033</v>
      </c>
      <c r="K30" s="73">
        <f t="shared" si="6"/>
        <v>2811.7466880476391</v>
      </c>
      <c r="L30" s="75">
        <f t="shared" si="7"/>
        <v>421.76200320714582</v>
      </c>
      <c r="M30" s="217">
        <f t="shared" si="8"/>
        <v>3233.5086912547849</v>
      </c>
      <c r="N30" s="90"/>
    </row>
    <row r="31" spans="1:14" ht="49.5" customHeight="1" x14ac:dyDescent="0.25">
      <c r="A31" s="216">
        <v>16</v>
      </c>
      <c r="B31" s="218" t="s">
        <v>237</v>
      </c>
      <c r="C31" s="73">
        <v>0</v>
      </c>
      <c r="D31" s="73">
        <f t="shared" si="1"/>
        <v>1753.4632128818955</v>
      </c>
      <c r="E31" s="73">
        <f t="shared" si="2"/>
        <v>192.8809534170085</v>
      </c>
      <c r="F31" s="73"/>
      <c r="G31" s="73">
        <f t="shared" si="3"/>
        <v>690.05582317073186</v>
      </c>
      <c r="H31" s="73">
        <f t="shared" si="4"/>
        <v>2636.3999894696358</v>
      </c>
      <c r="I31" s="74">
        <f>Смета!$E$21</f>
        <v>0.10000021516836566</v>
      </c>
      <c r="J31" s="73">
        <f t="shared" si="5"/>
        <v>175.3466985780033</v>
      </c>
      <c r="K31" s="73">
        <f t="shared" si="6"/>
        <v>2811.7466880476391</v>
      </c>
      <c r="L31" s="75">
        <f t="shared" si="7"/>
        <v>421.76200320714582</v>
      </c>
      <c r="M31" s="217">
        <f t="shared" si="8"/>
        <v>3233.5086912547849</v>
      </c>
      <c r="N31" s="90"/>
    </row>
    <row r="32" spans="1:14" ht="49.5" customHeight="1" x14ac:dyDescent="0.25">
      <c r="A32" s="216">
        <v>17</v>
      </c>
      <c r="B32" s="218" t="s">
        <v>238</v>
      </c>
      <c r="C32" s="73">
        <v>0</v>
      </c>
      <c r="D32" s="73">
        <f t="shared" si="1"/>
        <v>1753.4632128818955</v>
      </c>
      <c r="E32" s="73">
        <f t="shared" si="2"/>
        <v>192.8809534170085</v>
      </c>
      <c r="F32" s="73"/>
      <c r="G32" s="73">
        <f t="shared" si="3"/>
        <v>690.05582317073186</v>
      </c>
      <c r="H32" s="73">
        <f t="shared" si="4"/>
        <v>2636.3999894696358</v>
      </c>
      <c r="I32" s="74">
        <f>Смета!$E$21</f>
        <v>0.10000021516836566</v>
      </c>
      <c r="J32" s="73">
        <f t="shared" si="5"/>
        <v>175.3466985780033</v>
      </c>
      <c r="K32" s="73">
        <f t="shared" si="6"/>
        <v>2811.7466880476391</v>
      </c>
      <c r="L32" s="75">
        <f t="shared" si="7"/>
        <v>421.76200320714582</v>
      </c>
      <c r="M32" s="217">
        <f t="shared" si="8"/>
        <v>3233.5086912547849</v>
      </c>
      <c r="N32" s="90"/>
    </row>
    <row r="33" spans="1:14" ht="49.5" customHeight="1" x14ac:dyDescent="0.25">
      <c r="A33" s="216">
        <v>18</v>
      </c>
      <c r="B33" s="218" t="s">
        <v>239</v>
      </c>
      <c r="C33" s="73">
        <v>0</v>
      </c>
      <c r="D33" s="73">
        <f t="shared" si="1"/>
        <v>1753.4632128818955</v>
      </c>
      <c r="E33" s="73">
        <f t="shared" si="2"/>
        <v>192.8809534170085</v>
      </c>
      <c r="F33" s="73"/>
      <c r="G33" s="73">
        <f t="shared" si="3"/>
        <v>690.05582317073186</v>
      </c>
      <c r="H33" s="73">
        <f t="shared" si="4"/>
        <v>2636.3999894696358</v>
      </c>
      <c r="I33" s="74">
        <f>Смета!$E$21</f>
        <v>0.10000021516836566</v>
      </c>
      <c r="J33" s="73">
        <f t="shared" si="5"/>
        <v>175.3466985780033</v>
      </c>
      <c r="K33" s="73">
        <f t="shared" si="6"/>
        <v>2811.7466880476391</v>
      </c>
      <c r="L33" s="75">
        <f t="shared" si="7"/>
        <v>421.76200320714582</v>
      </c>
      <c r="M33" s="217">
        <f t="shared" si="8"/>
        <v>3233.5086912547849</v>
      </c>
      <c r="N33" s="90"/>
    </row>
    <row r="34" spans="1:14" ht="49.5" customHeight="1" x14ac:dyDescent="0.25">
      <c r="A34" s="216">
        <v>19</v>
      </c>
      <c r="B34" s="218" t="s">
        <v>240</v>
      </c>
      <c r="C34" s="73">
        <v>0</v>
      </c>
      <c r="D34" s="73">
        <f t="shared" si="1"/>
        <v>1753.4632128818955</v>
      </c>
      <c r="E34" s="73">
        <f t="shared" si="2"/>
        <v>192.8809534170085</v>
      </c>
      <c r="F34" s="73"/>
      <c r="G34" s="73">
        <f t="shared" si="3"/>
        <v>690.05582317073186</v>
      </c>
      <c r="H34" s="73">
        <f t="shared" si="4"/>
        <v>2636.3999894696358</v>
      </c>
      <c r="I34" s="74">
        <f>Смета!$E$21</f>
        <v>0.10000021516836566</v>
      </c>
      <c r="J34" s="73">
        <f t="shared" si="5"/>
        <v>175.3466985780033</v>
      </c>
      <c r="K34" s="73">
        <f t="shared" si="6"/>
        <v>2811.7466880476391</v>
      </c>
      <c r="L34" s="75">
        <f t="shared" si="7"/>
        <v>421.76200320714582</v>
      </c>
      <c r="M34" s="217">
        <f t="shared" si="8"/>
        <v>3233.5086912547849</v>
      </c>
      <c r="N34" s="90"/>
    </row>
    <row r="35" spans="1:14" ht="49.5" customHeight="1" x14ac:dyDescent="0.25">
      <c r="A35" s="216">
        <v>20</v>
      </c>
      <c r="B35" s="218" t="s">
        <v>241</v>
      </c>
      <c r="C35" s="73">
        <v>0</v>
      </c>
      <c r="D35" s="73">
        <f t="shared" si="1"/>
        <v>1753.4632128818955</v>
      </c>
      <c r="E35" s="73">
        <f t="shared" si="2"/>
        <v>192.8809534170085</v>
      </c>
      <c r="F35" s="73"/>
      <c r="G35" s="73">
        <f t="shared" si="3"/>
        <v>690.05582317073186</v>
      </c>
      <c r="H35" s="73">
        <f t="shared" si="4"/>
        <v>2636.3999894696358</v>
      </c>
      <c r="I35" s="74">
        <f>Смета!$E$21</f>
        <v>0.10000021516836566</v>
      </c>
      <c r="J35" s="73">
        <f t="shared" si="5"/>
        <v>175.3466985780033</v>
      </c>
      <c r="K35" s="73">
        <f t="shared" si="6"/>
        <v>2811.7466880476391</v>
      </c>
      <c r="L35" s="75">
        <f t="shared" si="7"/>
        <v>421.76200320714582</v>
      </c>
      <c r="M35" s="217">
        <f t="shared" si="8"/>
        <v>3233.5086912547849</v>
      </c>
      <c r="N35" s="90"/>
    </row>
    <row r="36" spans="1:14" ht="49.5" customHeight="1" x14ac:dyDescent="0.25">
      <c r="A36" s="216">
        <v>21</v>
      </c>
      <c r="B36" s="218" t="s">
        <v>242</v>
      </c>
      <c r="C36" s="73">
        <v>0</v>
      </c>
      <c r="D36" s="73">
        <f t="shared" si="1"/>
        <v>1753.4632128818955</v>
      </c>
      <c r="E36" s="73">
        <f t="shared" si="2"/>
        <v>192.8809534170085</v>
      </c>
      <c r="F36" s="73"/>
      <c r="G36" s="73">
        <f t="shared" si="3"/>
        <v>690.05582317073186</v>
      </c>
      <c r="H36" s="73">
        <f t="shared" si="4"/>
        <v>2636.3999894696358</v>
      </c>
      <c r="I36" s="74">
        <f>Смета!$E$21</f>
        <v>0.10000021516836566</v>
      </c>
      <c r="J36" s="73">
        <f t="shared" si="5"/>
        <v>175.3466985780033</v>
      </c>
      <c r="K36" s="73">
        <f t="shared" si="6"/>
        <v>2811.7466880476391</v>
      </c>
      <c r="L36" s="75">
        <f t="shared" si="7"/>
        <v>421.76200320714582</v>
      </c>
      <c r="M36" s="217">
        <f t="shared" si="8"/>
        <v>3233.5086912547849</v>
      </c>
      <c r="N36" s="90"/>
    </row>
    <row r="37" spans="1:14" ht="49.5" customHeight="1" x14ac:dyDescent="0.25">
      <c r="A37" s="216">
        <v>22</v>
      </c>
      <c r="B37" s="218" t="s">
        <v>243</v>
      </c>
      <c r="C37" s="73">
        <v>0</v>
      </c>
      <c r="D37" s="73">
        <f t="shared" si="1"/>
        <v>1753.4632128818955</v>
      </c>
      <c r="E37" s="73">
        <f t="shared" si="2"/>
        <v>192.8809534170085</v>
      </c>
      <c r="F37" s="73"/>
      <c r="G37" s="73">
        <f t="shared" si="3"/>
        <v>690.05582317073186</v>
      </c>
      <c r="H37" s="73">
        <f t="shared" si="4"/>
        <v>2636.3999894696358</v>
      </c>
      <c r="I37" s="74">
        <f>Смета!$E$21</f>
        <v>0.10000021516836566</v>
      </c>
      <c r="J37" s="73">
        <f t="shared" si="5"/>
        <v>175.3466985780033</v>
      </c>
      <c r="K37" s="73">
        <f t="shared" si="6"/>
        <v>2811.7466880476391</v>
      </c>
      <c r="L37" s="75">
        <f t="shared" si="7"/>
        <v>421.76200320714582</v>
      </c>
      <c r="M37" s="217">
        <f t="shared" si="8"/>
        <v>3233.5086912547849</v>
      </c>
      <c r="N37" s="90"/>
    </row>
    <row r="38" spans="1:14" ht="49.5" customHeight="1" x14ac:dyDescent="0.25">
      <c r="A38" s="216">
        <v>23</v>
      </c>
      <c r="B38" s="218" t="s">
        <v>244</v>
      </c>
      <c r="C38" s="73">
        <v>0</v>
      </c>
      <c r="D38" s="73">
        <f t="shared" si="1"/>
        <v>1753.4632128818955</v>
      </c>
      <c r="E38" s="73">
        <f t="shared" si="2"/>
        <v>192.8809534170085</v>
      </c>
      <c r="F38" s="73"/>
      <c r="G38" s="73">
        <f t="shared" si="3"/>
        <v>690.05582317073186</v>
      </c>
      <c r="H38" s="73">
        <f t="shared" si="4"/>
        <v>2636.3999894696358</v>
      </c>
      <c r="I38" s="74">
        <f>Смета!$E$21</f>
        <v>0.10000021516836566</v>
      </c>
      <c r="J38" s="73">
        <f t="shared" si="5"/>
        <v>175.3466985780033</v>
      </c>
      <c r="K38" s="73">
        <f t="shared" si="6"/>
        <v>2811.7466880476391</v>
      </c>
      <c r="L38" s="75">
        <f t="shared" si="7"/>
        <v>421.76200320714582</v>
      </c>
      <c r="M38" s="217">
        <f t="shared" si="8"/>
        <v>3233.5086912547849</v>
      </c>
      <c r="N38" s="90"/>
    </row>
    <row r="39" spans="1:14" ht="49.5" customHeight="1" x14ac:dyDescent="0.25">
      <c r="A39" s="216">
        <v>24</v>
      </c>
      <c r="B39" s="218" t="s">
        <v>245</v>
      </c>
      <c r="C39" s="73">
        <v>0</v>
      </c>
      <c r="D39" s="73">
        <f t="shared" si="1"/>
        <v>1753.4632128818955</v>
      </c>
      <c r="E39" s="73">
        <f t="shared" si="2"/>
        <v>192.8809534170085</v>
      </c>
      <c r="F39" s="73"/>
      <c r="G39" s="73">
        <f t="shared" si="3"/>
        <v>690.05582317073186</v>
      </c>
      <c r="H39" s="73">
        <f t="shared" si="4"/>
        <v>2636.3999894696358</v>
      </c>
      <c r="I39" s="74">
        <f>Смета!$E$21</f>
        <v>0.10000021516836566</v>
      </c>
      <c r="J39" s="73">
        <f t="shared" si="5"/>
        <v>175.3466985780033</v>
      </c>
      <c r="K39" s="73">
        <f t="shared" si="6"/>
        <v>2811.7466880476391</v>
      </c>
      <c r="L39" s="75">
        <f t="shared" si="7"/>
        <v>421.76200320714582</v>
      </c>
      <c r="M39" s="217">
        <f t="shared" si="8"/>
        <v>3233.5086912547849</v>
      </c>
      <c r="N39" s="90"/>
    </row>
    <row r="40" spans="1:14" ht="49.5" customHeight="1" x14ac:dyDescent="0.25">
      <c r="A40" s="216">
        <v>25</v>
      </c>
      <c r="B40" s="218" t="s">
        <v>246</v>
      </c>
      <c r="C40" s="73">
        <v>0</v>
      </c>
      <c r="D40" s="73">
        <f t="shared" si="1"/>
        <v>1753.4632128818955</v>
      </c>
      <c r="E40" s="73">
        <f t="shared" si="2"/>
        <v>192.8809534170085</v>
      </c>
      <c r="F40" s="73"/>
      <c r="G40" s="73">
        <f t="shared" si="3"/>
        <v>690.05582317073186</v>
      </c>
      <c r="H40" s="73">
        <f t="shared" si="4"/>
        <v>2636.3999894696358</v>
      </c>
      <c r="I40" s="74">
        <f>Смета!$E$21</f>
        <v>0.10000021516836566</v>
      </c>
      <c r="J40" s="73">
        <f t="shared" si="5"/>
        <v>175.3466985780033</v>
      </c>
      <c r="K40" s="73">
        <f t="shared" si="6"/>
        <v>2811.7466880476391</v>
      </c>
      <c r="L40" s="75">
        <f t="shared" si="7"/>
        <v>421.76200320714582</v>
      </c>
      <c r="M40" s="217">
        <f t="shared" si="8"/>
        <v>3233.5086912547849</v>
      </c>
      <c r="N40" s="90"/>
    </row>
    <row r="41" spans="1:14" ht="49.5" customHeight="1" x14ac:dyDescent="0.25">
      <c r="A41" s="216">
        <v>26</v>
      </c>
      <c r="B41" s="218" t="s">
        <v>247</v>
      </c>
      <c r="C41" s="73">
        <v>0</v>
      </c>
      <c r="D41" s="73">
        <f t="shared" si="1"/>
        <v>1753.4632128818955</v>
      </c>
      <c r="E41" s="73">
        <f t="shared" si="2"/>
        <v>192.8809534170085</v>
      </c>
      <c r="F41" s="73"/>
      <c r="G41" s="73">
        <f t="shared" si="3"/>
        <v>690.05582317073186</v>
      </c>
      <c r="H41" s="73">
        <f t="shared" si="4"/>
        <v>2636.3999894696358</v>
      </c>
      <c r="I41" s="74">
        <f>Смета!$E$21</f>
        <v>0.10000021516836566</v>
      </c>
      <c r="J41" s="73">
        <f t="shared" si="5"/>
        <v>175.3466985780033</v>
      </c>
      <c r="K41" s="73">
        <f t="shared" si="6"/>
        <v>2811.7466880476391</v>
      </c>
      <c r="L41" s="75">
        <f t="shared" si="7"/>
        <v>421.76200320714582</v>
      </c>
      <c r="M41" s="217">
        <f t="shared" si="8"/>
        <v>3233.5086912547849</v>
      </c>
      <c r="N41" s="90"/>
    </row>
    <row r="42" spans="1:14" ht="49.5" customHeight="1" x14ac:dyDescent="0.25">
      <c r="A42" s="216">
        <v>27</v>
      </c>
      <c r="B42" s="218" t="s">
        <v>248</v>
      </c>
      <c r="C42" s="73">
        <v>0</v>
      </c>
      <c r="D42" s="73">
        <f t="shared" si="1"/>
        <v>1753.4632128818955</v>
      </c>
      <c r="E42" s="73">
        <f t="shared" si="2"/>
        <v>192.8809534170085</v>
      </c>
      <c r="F42" s="73"/>
      <c r="G42" s="73">
        <f t="shared" si="3"/>
        <v>690.05582317073186</v>
      </c>
      <c r="H42" s="73">
        <f t="shared" si="4"/>
        <v>2636.3999894696358</v>
      </c>
      <c r="I42" s="74">
        <f>Смета!$E$21</f>
        <v>0.10000021516836566</v>
      </c>
      <c r="J42" s="73">
        <f t="shared" si="5"/>
        <v>175.3466985780033</v>
      </c>
      <c r="K42" s="73">
        <f t="shared" si="6"/>
        <v>2811.7466880476391</v>
      </c>
      <c r="L42" s="75">
        <f t="shared" si="7"/>
        <v>421.76200320714582</v>
      </c>
      <c r="M42" s="217">
        <f t="shared" si="8"/>
        <v>3233.5086912547849</v>
      </c>
      <c r="N42" s="90"/>
    </row>
    <row r="43" spans="1:14" ht="49.5" customHeight="1" x14ac:dyDescent="0.25">
      <c r="A43" s="216">
        <v>28</v>
      </c>
      <c r="B43" s="218" t="s">
        <v>249</v>
      </c>
      <c r="C43" s="73">
        <v>0</v>
      </c>
      <c r="D43" s="73">
        <f t="shared" si="1"/>
        <v>1753.4632128818955</v>
      </c>
      <c r="E43" s="73">
        <f t="shared" si="2"/>
        <v>192.8809534170085</v>
      </c>
      <c r="F43" s="73"/>
      <c r="G43" s="73">
        <f t="shared" si="3"/>
        <v>690.05582317073186</v>
      </c>
      <c r="H43" s="73">
        <f t="shared" si="4"/>
        <v>2636.3999894696358</v>
      </c>
      <c r="I43" s="74">
        <f>Смета!$E$21</f>
        <v>0.10000021516836566</v>
      </c>
      <c r="J43" s="73">
        <f t="shared" si="5"/>
        <v>175.3466985780033</v>
      </c>
      <c r="K43" s="73">
        <f t="shared" si="6"/>
        <v>2811.7466880476391</v>
      </c>
      <c r="L43" s="75">
        <f t="shared" si="7"/>
        <v>421.76200320714582</v>
      </c>
      <c r="M43" s="217">
        <f t="shared" si="8"/>
        <v>3233.5086912547849</v>
      </c>
      <c r="N43" s="90"/>
    </row>
    <row r="44" spans="1:14" ht="49.5" customHeight="1" x14ac:dyDescent="0.25">
      <c r="A44" s="216">
        <v>29</v>
      </c>
      <c r="B44" s="218" t="s">
        <v>250</v>
      </c>
      <c r="C44" s="73">
        <v>0</v>
      </c>
      <c r="D44" s="73">
        <f t="shared" si="1"/>
        <v>1753.4632128818955</v>
      </c>
      <c r="E44" s="73">
        <f t="shared" si="2"/>
        <v>192.8809534170085</v>
      </c>
      <c r="F44" s="73"/>
      <c r="G44" s="73">
        <f t="shared" si="3"/>
        <v>690.05582317073186</v>
      </c>
      <c r="H44" s="73">
        <f t="shared" si="4"/>
        <v>2636.3999894696358</v>
      </c>
      <c r="I44" s="74">
        <f>Смета!$E$21</f>
        <v>0.10000021516836566</v>
      </c>
      <c r="J44" s="73">
        <f t="shared" si="5"/>
        <v>175.3466985780033</v>
      </c>
      <c r="K44" s="73">
        <f t="shared" si="6"/>
        <v>2811.7466880476391</v>
      </c>
      <c r="L44" s="75">
        <f t="shared" si="7"/>
        <v>421.76200320714582</v>
      </c>
      <c r="M44" s="217">
        <f t="shared" si="8"/>
        <v>3233.5086912547849</v>
      </c>
      <c r="N44" s="90"/>
    </row>
    <row r="45" spans="1:14" ht="49.5" customHeight="1" x14ac:dyDescent="0.25">
      <c r="A45" s="216">
        <v>30</v>
      </c>
      <c r="B45" s="218" t="s">
        <v>251</v>
      </c>
      <c r="C45" s="73">
        <v>0</v>
      </c>
      <c r="D45" s="73">
        <f t="shared" si="1"/>
        <v>1753.4632128818955</v>
      </c>
      <c r="E45" s="73">
        <f t="shared" si="2"/>
        <v>192.8809534170085</v>
      </c>
      <c r="F45" s="73"/>
      <c r="G45" s="73">
        <f t="shared" si="3"/>
        <v>690.05582317073186</v>
      </c>
      <c r="H45" s="73">
        <f t="shared" si="4"/>
        <v>2636.3999894696358</v>
      </c>
      <c r="I45" s="74">
        <f>Смета!$E$21</f>
        <v>0.10000021516836566</v>
      </c>
      <c r="J45" s="73">
        <f t="shared" si="5"/>
        <v>175.3466985780033</v>
      </c>
      <c r="K45" s="73">
        <f t="shared" si="6"/>
        <v>2811.7466880476391</v>
      </c>
      <c r="L45" s="75">
        <f t="shared" si="7"/>
        <v>421.76200320714582</v>
      </c>
      <c r="M45" s="217">
        <f t="shared" si="8"/>
        <v>3233.5086912547849</v>
      </c>
      <c r="N45" s="90"/>
    </row>
    <row r="46" spans="1:14" ht="49.5" customHeight="1" x14ac:dyDescent="0.25">
      <c r="A46" s="216">
        <v>31</v>
      </c>
      <c r="B46" s="218" t="s">
        <v>252</v>
      </c>
      <c r="C46" s="73">
        <v>0</v>
      </c>
      <c r="D46" s="73">
        <f t="shared" si="1"/>
        <v>1753.4632128818955</v>
      </c>
      <c r="E46" s="73">
        <f t="shared" si="2"/>
        <v>192.8809534170085</v>
      </c>
      <c r="F46" s="73"/>
      <c r="G46" s="73">
        <f t="shared" si="3"/>
        <v>690.05582317073186</v>
      </c>
      <c r="H46" s="73">
        <f t="shared" si="4"/>
        <v>2636.3999894696358</v>
      </c>
      <c r="I46" s="74">
        <f>Смета!$E$21</f>
        <v>0.10000021516836566</v>
      </c>
      <c r="J46" s="73">
        <f t="shared" si="5"/>
        <v>175.3466985780033</v>
      </c>
      <c r="K46" s="73">
        <f t="shared" si="6"/>
        <v>2811.7466880476391</v>
      </c>
      <c r="L46" s="75">
        <f t="shared" si="7"/>
        <v>421.76200320714582</v>
      </c>
      <c r="M46" s="217">
        <f t="shared" si="8"/>
        <v>3233.5086912547849</v>
      </c>
      <c r="N46" s="90"/>
    </row>
    <row r="47" spans="1:14" ht="49.5" customHeight="1" x14ac:dyDescent="0.25">
      <c r="A47" s="216">
        <v>32</v>
      </c>
      <c r="B47" s="218" t="s">
        <v>253</v>
      </c>
      <c r="C47" s="73">
        <v>0</v>
      </c>
      <c r="D47" s="73">
        <f t="shared" si="1"/>
        <v>1753.4632128818955</v>
      </c>
      <c r="E47" s="73">
        <f t="shared" si="2"/>
        <v>192.8809534170085</v>
      </c>
      <c r="F47" s="73"/>
      <c r="G47" s="73">
        <f t="shared" si="3"/>
        <v>690.05582317073186</v>
      </c>
      <c r="H47" s="73">
        <f t="shared" si="4"/>
        <v>2636.3999894696358</v>
      </c>
      <c r="I47" s="74">
        <f>Смета!$E$21</f>
        <v>0.10000021516836566</v>
      </c>
      <c r="J47" s="73">
        <f t="shared" si="5"/>
        <v>175.3466985780033</v>
      </c>
      <c r="K47" s="73">
        <f t="shared" si="6"/>
        <v>2811.7466880476391</v>
      </c>
      <c r="L47" s="75">
        <f t="shared" si="7"/>
        <v>421.76200320714582</v>
      </c>
      <c r="M47" s="217">
        <f t="shared" si="8"/>
        <v>3233.5086912547849</v>
      </c>
      <c r="N47" s="90"/>
    </row>
    <row r="48" spans="1:14" ht="49.5" customHeight="1" x14ac:dyDescent="0.25">
      <c r="A48" s="216">
        <v>33</v>
      </c>
      <c r="B48" s="218" t="s">
        <v>254</v>
      </c>
      <c r="C48" s="73">
        <v>0</v>
      </c>
      <c r="D48" s="73">
        <f t="shared" si="1"/>
        <v>1753.4632128818955</v>
      </c>
      <c r="E48" s="73">
        <f t="shared" si="2"/>
        <v>192.8809534170085</v>
      </c>
      <c r="F48" s="73"/>
      <c r="G48" s="73">
        <f t="shared" si="3"/>
        <v>690.05582317073186</v>
      </c>
      <c r="H48" s="73">
        <f t="shared" si="4"/>
        <v>2636.3999894696358</v>
      </c>
      <c r="I48" s="74">
        <f>Смета!$E$21</f>
        <v>0.10000021516836566</v>
      </c>
      <c r="J48" s="73">
        <f t="shared" si="5"/>
        <v>175.3466985780033</v>
      </c>
      <c r="K48" s="73">
        <f t="shared" si="6"/>
        <v>2811.7466880476391</v>
      </c>
      <c r="L48" s="75">
        <f t="shared" si="7"/>
        <v>421.76200320714582</v>
      </c>
      <c r="M48" s="217">
        <f t="shared" si="8"/>
        <v>3233.5086912547849</v>
      </c>
      <c r="N48" s="90"/>
    </row>
    <row r="49" spans="1:14" ht="49.5" customHeight="1" x14ac:dyDescent="0.25">
      <c r="A49" s="216">
        <v>34</v>
      </c>
      <c r="B49" s="218" t="s">
        <v>255</v>
      </c>
      <c r="C49" s="73">
        <v>0</v>
      </c>
      <c r="D49" s="73">
        <f t="shared" si="1"/>
        <v>1753.4632128818955</v>
      </c>
      <c r="E49" s="73">
        <f t="shared" si="2"/>
        <v>192.8809534170085</v>
      </c>
      <c r="F49" s="73"/>
      <c r="G49" s="73">
        <f t="shared" si="3"/>
        <v>690.05582317073186</v>
      </c>
      <c r="H49" s="73">
        <f t="shared" si="4"/>
        <v>2636.3999894696358</v>
      </c>
      <c r="I49" s="74">
        <f>Смета!$E$21</f>
        <v>0.10000021516836566</v>
      </c>
      <c r="J49" s="73">
        <f t="shared" si="5"/>
        <v>175.3466985780033</v>
      </c>
      <c r="K49" s="73">
        <f t="shared" si="6"/>
        <v>2811.7466880476391</v>
      </c>
      <c r="L49" s="75">
        <f t="shared" si="7"/>
        <v>421.76200320714582</v>
      </c>
      <c r="M49" s="217">
        <f t="shared" si="8"/>
        <v>3233.5086912547849</v>
      </c>
      <c r="N49" s="90"/>
    </row>
    <row r="50" spans="1:14" ht="49.5" customHeight="1" x14ac:dyDescent="0.25">
      <c r="A50" s="216">
        <v>35</v>
      </c>
      <c r="B50" s="218" t="s">
        <v>256</v>
      </c>
      <c r="C50" s="73">
        <v>0</v>
      </c>
      <c r="D50" s="73">
        <f t="shared" si="1"/>
        <v>1753.4632128818955</v>
      </c>
      <c r="E50" s="73">
        <f t="shared" si="2"/>
        <v>192.8809534170085</v>
      </c>
      <c r="F50" s="73"/>
      <c r="G50" s="73">
        <f t="shared" si="3"/>
        <v>690.05582317073186</v>
      </c>
      <c r="H50" s="73">
        <f t="shared" si="4"/>
        <v>2636.3999894696358</v>
      </c>
      <c r="I50" s="74">
        <f>Смета!$E$21</f>
        <v>0.10000021516836566</v>
      </c>
      <c r="J50" s="73">
        <f t="shared" si="5"/>
        <v>175.3466985780033</v>
      </c>
      <c r="K50" s="73">
        <f t="shared" si="6"/>
        <v>2811.7466880476391</v>
      </c>
      <c r="L50" s="75">
        <f t="shared" si="7"/>
        <v>421.76200320714582</v>
      </c>
      <c r="M50" s="217">
        <f t="shared" si="8"/>
        <v>3233.5086912547849</v>
      </c>
      <c r="N50" s="90"/>
    </row>
    <row r="51" spans="1:14" ht="49.5" customHeight="1" x14ac:dyDescent="0.25">
      <c r="A51" s="216">
        <v>36</v>
      </c>
      <c r="B51" s="218" t="s">
        <v>257</v>
      </c>
      <c r="C51" s="73">
        <v>0</v>
      </c>
      <c r="D51" s="73">
        <f t="shared" si="1"/>
        <v>1753.4632128818955</v>
      </c>
      <c r="E51" s="73">
        <f t="shared" si="2"/>
        <v>192.8809534170085</v>
      </c>
      <c r="F51" s="73"/>
      <c r="G51" s="73">
        <f t="shared" si="3"/>
        <v>690.05582317073186</v>
      </c>
      <c r="H51" s="73">
        <f t="shared" si="4"/>
        <v>2636.3999894696358</v>
      </c>
      <c r="I51" s="74">
        <f>Смета!$E$21</f>
        <v>0.10000021516836566</v>
      </c>
      <c r="J51" s="73">
        <f t="shared" si="5"/>
        <v>175.3466985780033</v>
      </c>
      <c r="K51" s="73">
        <f t="shared" si="6"/>
        <v>2811.7466880476391</v>
      </c>
      <c r="L51" s="75">
        <f t="shared" si="7"/>
        <v>421.76200320714582</v>
      </c>
      <c r="M51" s="217">
        <f t="shared" si="8"/>
        <v>3233.5086912547849</v>
      </c>
      <c r="N51" s="90"/>
    </row>
    <row r="52" spans="1:14" ht="49.5" customHeight="1" x14ac:dyDescent="0.25">
      <c r="A52" s="216">
        <v>37</v>
      </c>
      <c r="B52" s="218" t="s">
        <v>258</v>
      </c>
      <c r="C52" s="73">
        <v>0</v>
      </c>
      <c r="D52" s="73">
        <f t="shared" si="1"/>
        <v>1753.4632128818955</v>
      </c>
      <c r="E52" s="73">
        <f t="shared" si="2"/>
        <v>192.8809534170085</v>
      </c>
      <c r="F52" s="73"/>
      <c r="G52" s="73">
        <f t="shared" si="3"/>
        <v>690.05582317073186</v>
      </c>
      <c r="H52" s="73">
        <f t="shared" si="4"/>
        <v>2636.3999894696358</v>
      </c>
      <c r="I52" s="74">
        <f>Смета!$E$21</f>
        <v>0.10000021516836566</v>
      </c>
      <c r="J52" s="73">
        <f t="shared" si="5"/>
        <v>175.3466985780033</v>
      </c>
      <c r="K52" s="73">
        <f t="shared" si="6"/>
        <v>2811.7466880476391</v>
      </c>
      <c r="L52" s="75">
        <f t="shared" si="7"/>
        <v>421.76200320714582</v>
      </c>
      <c r="M52" s="217">
        <f t="shared" si="8"/>
        <v>3233.5086912547849</v>
      </c>
      <c r="N52" s="90"/>
    </row>
    <row r="53" spans="1:14" ht="49.5" customHeight="1" x14ac:dyDescent="0.25">
      <c r="A53" s="216">
        <v>38</v>
      </c>
      <c r="B53" s="218" t="s">
        <v>259</v>
      </c>
      <c r="C53" s="73">
        <v>0</v>
      </c>
      <c r="D53" s="73">
        <f t="shared" si="1"/>
        <v>1753.4632128818955</v>
      </c>
      <c r="E53" s="73">
        <f t="shared" si="2"/>
        <v>192.8809534170085</v>
      </c>
      <c r="F53" s="73"/>
      <c r="G53" s="73">
        <f t="shared" si="3"/>
        <v>690.05582317073186</v>
      </c>
      <c r="H53" s="73">
        <f t="shared" si="4"/>
        <v>2636.3999894696358</v>
      </c>
      <c r="I53" s="74">
        <f>Смета!$E$21</f>
        <v>0.10000021516836566</v>
      </c>
      <c r="J53" s="73">
        <f t="shared" si="5"/>
        <v>175.3466985780033</v>
      </c>
      <c r="K53" s="73">
        <f t="shared" si="6"/>
        <v>2811.7466880476391</v>
      </c>
      <c r="L53" s="75">
        <f t="shared" si="7"/>
        <v>421.76200320714582</v>
      </c>
      <c r="M53" s="217">
        <f t="shared" si="8"/>
        <v>3233.5086912547849</v>
      </c>
      <c r="N53" s="90"/>
    </row>
    <row r="54" spans="1:14" ht="49.5" customHeight="1" x14ac:dyDescent="0.25">
      <c r="A54" s="216">
        <v>39</v>
      </c>
      <c r="B54" s="218" t="s">
        <v>260</v>
      </c>
      <c r="C54" s="73">
        <v>0</v>
      </c>
      <c r="D54" s="73">
        <f t="shared" si="1"/>
        <v>1753.4632128818955</v>
      </c>
      <c r="E54" s="73">
        <f t="shared" si="2"/>
        <v>192.8809534170085</v>
      </c>
      <c r="F54" s="73"/>
      <c r="G54" s="73">
        <f t="shared" si="3"/>
        <v>690.05582317073186</v>
      </c>
      <c r="H54" s="73">
        <f t="shared" si="4"/>
        <v>2636.3999894696358</v>
      </c>
      <c r="I54" s="74">
        <f>Смета!$E$21</f>
        <v>0.10000021516836566</v>
      </c>
      <c r="J54" s="73">
        <f t="shared" si="5"/>
        <v>175.3466985780033</v>
      </c>
      <c r="K54" s="73">
        <f t="shared" si="6"/>
        <v>2811.7466880476391</v>
      </c>
      <c r="L54" s="75">
        <f t="shared" si="7"/>
        <v>421.76200320714582</v>
      </c>
      <c r="M54" s="217">
        <f t="shared" si="8"/>
        <v>3233.5086912547849</v>
      </c>
      <c r="N54" s="90"/>
    </row>
    <row r="55" spans="1:14" ht="49.5" customHeight="1" x14ac:dyDescent="0.25">
      <c r="A55" s="216">
        <v>40</v>
      </c>
      <c r="B55" s="218" t="s">
        <v>261</v>
      </c>
      <c r="C55" s="73">
        <v>0</v>
      </c>
      <c r="D55" s="73">
        <f t="shared" si="1"/>
        <v>1753.4632128818955</v>
      </c>
      <c r="E55" s="73">
        <f t="shared" si="2"/>
        <v>192.8809534170085</v>
      </c>
      <c r="F55" s="73"/>
      <c r="G55" s="73">
        <f t="shared" si="3"/>
        <v>690.05582317073186</v>
      </c>
      <c r="H55" s="73">
        <f t="shared" si="4"/>
        <v>2636.3999894696358</v>
      </c>
      <c r="I55" s="74">
        <f>Смета!$E$21</f>
        <v>0.10000021516836566</v>
      </c>
      <c r="J55" s="73">
        <f t="shared" si="5"/>
        <v>175.3466985780033</v>
      </c>
      <c r="K55" s="73">
        <f t="shared" si="6"/>
        <v>2811.7466880476391</v>
      </c>
      <c r="L55" s="75">
        <f t="shared" si="7"/>
        <v>421.76200320714582</v>
      </c>
      <c r="M55" s="217">
        <f t="shared" si="8"/>
        <v>3233.5086912547849</v>
      </c>
      <c r="N55" s="90"/>
    </row>
    <row r="56" spans="1:14" ht="49.5" customHeight="1" x14ac:dyDescent="0.25">
      <c r="A56" s="216">
        <v>41</v>
      </c>
      <c r="B56" s="218" t="s">
        <v>262</v>
      </c>
      <c r="C56" s="73">
        <v>0</v>
      </c>
      <c r="D56" s="73">
        <f t="shared" si="1"/>
        <v>1753.4632128818955</v>
      </c>
      <c r="E56" s="73">
        <f t="shared" si="2"/>
        <v>192.8809534170085</v>
      </c>
      <c r="F56" s="73"/>
      <c r="G56" s="73">
        <f t="shared" si="3"/>
        <v>690.05582317073186</v>
      </c>
      <c r="H56" s="73">
        <f t="shared" si="4"/>
        <v>2636.3999894696358</v>
      </c>
      <c r="I56" s="74">
        <f>Смета!$E$21</f>
        <v>0.10000021516836566</v>
      </c>
      <c r="J56" s="73">
        <f t="shared" si="5"/>
        <v>175.3466985780033</v>
      </c>
      <c r="K56" s="73">
        <f t="shared" si="6"/>
        <v>2811.7466880476391</v>
      </c>
      <c r="L56" s="75">
        <f t="shared" si="7"/>
        <v>421.76200320714582</v>
      </c>
      <c r="M56" s="217">
        <f t="shared" si="8"/>
        <v>3233.5086912547849</v>
      </c>
      <c r="N56" s="90"/>
    </row>
    <row r="57" spans="1:14" ht="49.5" customHeight="1" x14ac:dyDescent="0.25">
      <c r="A57" s="216">
        <v>42</v>
      </c>
      <c r="B57" s="218" t="s">
        <v>263</v>
      </c>
      <c r="C57" s="73">
        <v>0</v>
      </c>
      <c r="D57" s="73">
        <f t="shared" si="1"/>
        <v>1753.4632128818955</v>
      </c>
      <c r="E57" s="73">
        <f t="shared" si="2"/>
        <v>192.8809534170085</v>
      </c>
      <c r="F57" s="73"/>
      <c r="G57" s="73">
        <f t="shared" si="3"/>
        <v>690.05582317073186</v>
      </c>
      <c r="H57" s="73">
        <f t="shared" si="4"/>
        <v>2636.3999894696358</v>
      </c>
      <c r="I57" s="74">
        <f>Смета!$E$21</f>
        <v>0.10000021516836566</v>
      </c>
      <c r="J57" s="73">
        <f t="shared" si="5"/>
        <v>175.3466985780033</v>
      </c>
      <c r="K57" s="73">
        <f t="shared" si="6"/>
        <v>2811.7466880476391</v>
      </c>
      <c r="L57" s="75">
        <f t="shared" si="7"/>
        <v>421.76200320714582</v>
      </c>
      <c r="M57" s="217">
        <f t="shared" si="8"/>
        <v>3233.5086912547849</v>
      </c>
      <c r="N57" s="90"/>
    </row>
    <row r="58" spans="1:14" ht="49.5" customHeight="1" x14ac:dyDescent="0.25">
      <c r="A58" s="216">
        <v>43</v>
      </c>
      <c r="B58" s="218" t="s">
        <v>264</v>
      </c>
      <c r="C58" s="73">
        <v>0</v>
      </c>
      <c r="D58" s="73">
        <f t="shared" si="1"/>
        <v>1753.4632128818955</v>
      </c>
      <c r="E58" s="73">
        <f t="shared" si="2"/>
        <v>192.8809534170085</v>
      </c>
      <c r="F58" s="73"/>
      <c r="G58" s="73">
        <f t="shared" si="3"/>
        <v>690.05582317073186</v>
      </c>
      <c r="H58" s="73">
        <f t="shared" si="4"/>
        <v>2636.3999894696358</v>
      </c>
      <c r="I58" s="74">
        <f>Смета!$E$21</f>
        <v>0.10000021516836566</v>
      </c>
      <c r="J58" s="73">
        <f t="shared" si="5"/>
        <v>175.3466985780033</v>
      </c>
      <c r="K58" s="73">
        <f t="shared" si="6"/>
        <v>2811.7466880476391</v>
      </c>
      <c r="L58" s="75">
        <f t="shared" si="7"/>
        <v>421.76200320714582</v>
      </c>
      <c r="M58" s="217">
        <f t="shared" si="8"/>
        <v>3233.5086912547849</v>
      </c>
      <c r="N58" s="90"/>
    </row>
    <row r="59" spans="1:14" ht="49.5" customHeight="1" x14ac:dyDescent="0.25">
      <c r="A59" s="216">
        <v>44</v>
      </c>
      <c r="B59" s="218" t="s">
        <v>265</v>
      </c>
      <c r="C59" s="73">
        <v>0</v>
      </c>
      <c r="D59" s="73">
        <f t="shared" si="1"/>
        <v>1753.4632128818955</v>
      </c>
      <c r="E59" s="73">
        <f t="shared" si="2"/>
        <v>192.8809534170085</v>
      </c>
      <c r="F59" s="73"/>
      <c r="G59" s="73">
        <f t="shared" si="3"/>
        <v>690.05582317073186</v>
      </c>
      <c r="H59" s="73">
        <f t="shared" si="4"/>
        <v>2636.3999894696358</v>
      </c>
      <c r="I59" s="74">
        <f>Смета!$E$21</f>
        <v>0.10000021516836566</v>
      </c>
      <c r="J59" s="73">
        <f t="shared" si="5"/>
        <v>175.3466985780033</v>
      </c>
      <c r="K59" s="73">
        <f t="shared" si="6"/>
        <v>2811.7466880476391</v>
      </c>
      <c r="L59" s="75">
        <f t="shared" si="7"/>
        <v>421.76200320714582</v>
      </c>
      <c r="M59" s="217">
        <f t="shared" si="8"/>
        <v>3233.5086912547849</v>
      </c>
      <c r="N59" s="90"/>
    </row>
    <row r="60" spans="1:14" ht="49.5" customHeight="1" x14ac:dyDescent="0.25">
      <c r="A60" s="216">
        <v>45</v>
      </c>
      <c r="B60" s="218" t="s">
        <v>266</v>
      </c>
      <c r="C60" s="73">
        <v>0</v>
      </c>
      <c r="D60" s="73">
        <f t="shared" si="1"/>
        <v>1753.4632128818955</v>
      </c>
      <c r="E60" s="73">
        <f t="shared" si="2"/>
        <v>192.8809534170085</v>
      </c>
      <c r="F60" s="73"/>
      <c r="G60" s="73">
        <f t="shared" si="3"/>
        <v>690.05582317073186</v>
      </c>
      <c r="H60" s="73">
        <f t="shared" si="4"/>
        <v>2636.3999894696358</v>
      </c>
      <c r="I60" s="74">
        <f>Смета!$E$21</f>
        <v>0.10000021516836566</v>
      </c>
      <c r="J60" s="73">
        <f t="shared" si="5"/>
        <v>175.3466985780033</v>
      </c>
      <c r="K60" s="73">
        <f t="shared" si="6"/>
        <v>2811.7466880476391</v>
      </c>
      <c r="L60" s="75">
        <f t="shared" si="7"/>
        <v>421.76200320714582</v>
      </c>
      <c r="M60" s="217">
        <f t="shared" si="8"/>
        <v>3233.5086912547849</v>
      </c>
      <c r="N60" s="90"/>
    </row>
    <row r="61" spans="1:14" ht="49.5" customHeight="1" x14ac:dyDescent="0.25">
      <c r="A61" s="216">
        <v>46</v>
      </c>
      <c r="B61" s="218" t="s">
        <v>267</v>
      </c>
      <c r="C61" s="73">
        <v>0</v>
      </c>
      <c r="D61" s="73">
        <f t="shared" si="1"/>
        <v>1753.4632128818955</v>
      </c>
      <c r="E61" s="73">
        <f t="shared" si="2"/>
        <v>192.8809534170085</v>
      </c>
      <c r="F61" s="73"/>
      <c r="G61" s="73">
        <f t="shared" si="3"/>
        <v>690.05582317073186</v>
      </c>
      <c r="H61" s="73">
        <f t="shared" si="4"/>
        <v>2636.3999894696358</v>
      </c>
      <c r="I61" s="74">
        <f>Смета!$E$21</f>
        <v>0.10000021516836566</v>
      </c>
      <c r="J61" s="73">
        <f t="shared" si="5"/>
        <v>175.3466985780033</v>
      </c>
      <c r="K61" s="73">
        <f t="shared" si="6"/>
        <v>2811.7466880476391</v>
      </c>
      <c r="L61" s="75">
        <f t="shared" si="7"/>
        <v>421.76200320714582</v>
      </c>
      <c r="M61" s="217">
        <f t="shared" si="8"/>
        <v>3233.5086912547849</v>
      </c>
      <c r="N61" s="90"/>
    </row>
    <row r="62" spans="1:14" ht="49.5" customHeight="1" x14ac:dyDescent="0.25">
      <c r="A62" s="216">
        <v>47</v>
      </c>
      <c r="B62" s="218" t="s">
        <v>268</v>
      </c>
      <c r="C62" s="73">
        <v>0</v>
      </c>
      <c r="D62" s="73">
        <f t="shared" si="1"/>
        <v>1753.4632128818955</v>
      </c>
      <c r="E62" s="73">
        <f t="shared" si="2"/>
        <v>192.8809534170085</v>
      </c>
      <c r="F62" s="73"/>
      <c r="G62" s="73">
        <f t="shared" si="3"/>
        <v>690.05582317073186</v>
      </c>
      <c r="H62" s="73">
        <f t="shared" si="4"/>
        <v>2636.3999894696358</v>
      </c>
      <c r="I62" s="74">
        <f>Смета!$E$21</f>
        <v>0.10000021516836566</v>
      </c>
      <c r="J62" s="73">
        <f t="shared" si="5"/>
        <v>175.3466985780033</v>
      </c>
      <c r="K62" s="73">
        <f t="shared" si="6"/>
        <v>2811.7466880476391</v>
      </c>
      <c r="L62" s="75">
        <f t="shared" si="7"/>
        <v>421.76200320714582</v>
      </c>
      <c r="M62" s="217">
        <f t="shared" si="8"/>
        <v>3233.5086912547849</v>
      </c>
      <c r="N62" s="90"/>
    </row>
    <row r="63" spans="1:14" ht="49.5" customHeight="1" x14ac:dyDescent="0.25">
      <c r="A63" s="216">
        <v>48</v>
      </c>
      <c r="B63" s="218" t="s">
        <v>269</v>
      </c>
      <c r="C63" s="73">
        <v>0</v>
      </c>
      <c r="D63" s="73">
        <f t="shared" si="1"/>
        <v>1753.4632128818955</v>
      </c>
      <c r="E63" s="73">
        <f t="shared" si="2"/>
        <v>192.8809534170085</v>
      </c>
      <c r="F63" s="73"/>
      <c r="G63" s="73">
        <f t="shared" si="3"/>
        <v>690.05582317073186</v>
      </c>
      <c r="H63" s="73">
        <f t="shared" si="4"/>
        <v>2636.3999894696358</v>
      </c>
      <c r="I63" s="74">
        <f>Смета!$E$21</f>
        <v>0.10000021516836566</v>
      </c>
      <c r="J63" s="73">
        <f t="shared" si="5"/>
        <v>175.3466985780033</v>
      </c>
      <c r="K63" s="73">
        <f t="shared" si="6"/>
        <v>2811.7466880476391</v>
      </c>
      <c r="L63" s="75">
        <f t="shared" si="7"/>
        <v>421.76200320714582</v>
      </c>
      <c r="M63" s="217">
        <f t="shared" si="8"/>
        <v>3233.5086912547849</v>
      </c>
      <c r="N63" s="90"/>
    </row>
    <row r="64" spans="1:14" ht="49.5" customHeight="1" x14ac:dyDescent="0.25">
      <c r="A64" s="216">
        <v>49</v>
      </c>
      <c r="B64" s="218" t="s">
        <v>270</v>
      </c>
      <c r="C64" s="73">
        <v>0</v>
      </c>
      <c r="D64" s="73">
        <f t="shared" si="1"/>
        <v>1753.4632128818955</v>
      </c>
      <c r="E64" s="73">
        <f t="shared" si="2"/>
        <v>192.8809534170085</v>
      </c>
      <c r="F64" s="73"/>
      <c r="G64" s="73">
        <f t="shared" si="3"/>
        <v>690.05582317073186</v>
      </c>
      <c r="H64" s="73">
        <f t="shared" si="4"/>
        <v>2636.3999894696358</v>
      </c>
      <c r="I64" s="74">
        <f>Смета!$E$21</f>
        <v>0.10000021516836566</v>
      </c>
      <c r="J64" s="73">
        <f t="shared" si="5"/>
        <v>175.3466985780033</v>
      </c>
      <c r="K64" s="73">
        <f t="shared" si="6"/>
        <v>2811.7466880476391</v>
      </c>
      <c r="L64" s="75">
        <f t="shared" si="7"/>
        <v>421.76200320714582</v>
      </c>
      <c r="M64" s="217">
        <f t="shared" si="8"/>
        <v>3233.5086912547849</v>
      </c>
      <c r="N64" s="90"/>
    </row>
    <row r="65" spans="1:14" ht="49.5" customHeight="1" x14ac:dyDescent="0.25">
      <c r="A65" s="216">
        <v>50</v>
      </c>
      <c r="B65" s="218" t="s">
        <v>271</v>
      </c>
      <c r="C65" s="73">
        <v>0</v>
      </c>
      <c r="D65" s="73">
        <f t="shared" si="1"/>
        <v>1753.4632128818955</v>
      </c>
      <c r="E65" s="73">
        <f t="shared" si="2"/>
        <v>192.8809534170085</v>
      </c>
      <c r="F65" s="73"/>
      <c r="G65" s="73">
        <f t="shared" si="3"/>
        <v>690.05582317073186</v>
      </c>
      <c r="H65" s="73">
        <f t="shared" si="4"/>
        <v>2636.3999894696358</v>
      </c>
      <c r="I65" s="74">
        <f>Смета!$E$21</f>
        <v>0.10000021516836566</v>
      </c>
      <c r="J65" s="73">
        <f t="shared" si="5"/>
        <v>175.3466985780033</v>
      </c>
      <c r="K65" s="73">
        <f t="shared" si="6"/>
        <v>2811.7466880476391</v>
      </c>
      <c r="L65" s="75">
        <f t="shared" si="7"/>
        <v>421.76200320714582</v>
      </c>
      <c r="M65" s="217">
        <f t="shared" si="8"/>
        <v>3233.5086912547849</v>
      </c>
      <c r="N65" s="90"/>
    </row>
    <row r="66" spans="1:14" ht="49.5" customHeight="1" x14ac:dyDescent="0.25">
      <c r="A66" s="216">
        <v>51</v>
      </c>
      <c r="B66" s="218" t="s">
        <v>272</v>
      </c>
      <c r="C66" s="73">
        <v>0</v>
      </c>
      <c r="D66" s="73">
        <f t="shared" si="1"/>
        <v>1753.4632128818955</v>
      </c>
      <c r="E66" s="73">
        <f t="shared" si="2"/>
        <v>192.8809534170085</v>
      </c>
      <c r="F66" s="73"/>
      <c r="G66" s="73">
        <f t="shared" si="3"/>
        <v>690.05582317073186</v>
      </c>
      <c r="H66" s="73">
        <f t="shared" si="4"/>
        <v>2636.3999894696358</v>
      </c>
      <c r="I66" s="74">
        <f>Смета!$E$21</f>
        <v>0.10000021516836566</v>
      </c>
      <c r="J66" s="73">
        <f t="shared" si="5"/>
        <v>175.3466985780033</v>
      </c>
      <c r="K66" s="73">
        <f t="shared" si="6"/>
        <v>2811.7466880476391</v>
      </c>
      <c r="L66" s="75">
        <f t="shared" si="7"/>
        <v>421.76200320714582</v>
      </c>
      <c r="M66" s="217">
        <f t="shared" si="8"/>
        <v>3233.5086912547849</v>
      </c>
      <c r="N66" s="90"/>
    </row>
    <row r="67" spans="1:14" ht="49.5" customHeight="1" x14ac:dyDescent="0.25">
      <c r="A67" s="216">
        <v>52</v>
      </c>
      <c r="B67" s="218" t="s">
        <v>273</v>
      </c>
      <c r="C67" s="73">
        <v>0</v>
      </c>
      <c r="D67" s="73">
        <f t="shared" si="1"/>
        <v>1753.4632128818955</v>
      </c>
      <c r="E67" s="73">
        <f t="shared" si="2"/>
        <v>192.8809534170085</v>
      </c>
      <c r="F67" s="73"/>
      <c r="G67" s="73">
        <f t="shared" si="3"/>
        <v>690.05582317073186</v>
      </c>
      <c r="H67" s="73">
        <f t="shared" si="4"/>
        <v>2636.3999894696358</v>
      </c>
      <c r="I67" s="74">
        <f>Смета!$E$21</f>
        <v>0.10000021516836566</v>
      </c>
      <c r="J67" s="73">
        <f t="shared" si="5"/>
        <v>175.3466985780033</v>
      </c>
      <c r="K67" s="73">
        <f t="shared" si="6"/>
        <v>2811.7466880476391</v>
      </c>
      <c r="L67" s="75">
        <f t="shared" si="7"/>
        <v>421.76200320714582</v>
      </c>
      <c r="M67" s="217">
        <f t="shared" si="8"/>
        <v>3233.5086912547849</v>
      </c>
      <c r="N67" s="90"/>
    </row>
    <row r="68" spans="1:14" ht="49.5" customHeight="1" x14ac:dyDescent="0.25">
      <c r="A68" s="216">
        <v>53</v>
      </c>
      <c r="B68" s="218" t="s">
        <v>274</v>
      </c>
      <c r="C68" s="73">
        <v>0</v>
      </c>
      <c r="D68" s="73">
        <f t="shared" si="1"/>
        <v>1753.4632128818955</v>
      </c>
      <c r="E68" s="73">
        <f t="shared" si="2"/>
        <v>192.8809534170085</v>
      </c>
      <c r="F68" s="73"/>
      <c r="G68" s="73">
        <f t="shared" si="3"/>
        <v>690.05582317073186</v>
      </c>
      <c r="H68" s="73">
        <f t="shared" si="4"/>
        <v>2636.3999894696358</v>
      </c>
      <c r="I68" s="74">
        <f>Смета!$E$21</f>
        <v>0.10000021516836566</v>
      </c>
      <c r="J68" s="73">
        <f t="shared" si="5"/>
        <v>175.3466985780033</v>
      </c>
      <c r="K68" s="73">
        <f t="shared" si="6"/>
        <v>2811.7466880476391</v>
      </c>
      <c r="L68" s="75">
        <f t="shared" si="7"/>
        <v>421.76200320714582</v>
      </c>
      <c r="M68" s="217">
        <f t="shared" si="8"/>
        <v>3233.5086912547849</v>
      </c>
      <c r="N68" s="90"/>
    </row>
    <row r="69" spans="1:14" ht="49.5" customHeight="1" x14ac:dyDescent="0.25">
      <c r="A69" s="216">
        <v>54</v>
      </c>
      <c r="B69" s="218" t="s">
        <v>275</v>
      </c>
      <c r="C69" s="73">
        <v>0</v>
      </c>
      <c r="D69" s="73">
        <f t="shared" si="1"/>
        <v>1753.4632128818955</v>
      </c>
      <c r="E69" s="73">
        <f t="shared" si="2"/>
        <v>192.8809534170085</v>
      </c>
      <c r="F69" s="73"/>
      <c r="G69" s="73">
        <f t="shared" si="3"/>
        <v>690.05582317073186</v>
      </c>
      <c r="H69" s="73">
        <f t="shared" si="4"/>
        <v>2636.3999894696358</v>
      </c>
      <c r="I69" s="74">
        <f>Смета!$E$21</f>
        <v>0.10000021516836566</v>
      </c>
      <c r="J69" s="73">
        <f t="shared" si="5"/>
        <v>175.3466985780033</v>
      </c>
      <c r="K69" s="73">
        <f t="shared" si="6"/>
        <v>2811.7466880476391</v>
      </c>
      <c r="L69" s="75">
        <f t="shared" si="7"/>
        <v>421.76200320714582</v>
      </c>
      <c r="M69" s="217">
        <f t="shared" si="8"/>
        <v>3233.5086912547849</v>
      </c>
      <c r="N69" s="90"/>
    </row>
    <row r="70" spans="1:14" ht="49.5" customHeight="1" x14ac:dyDescent="0.25">
      <c r="A70" s="216">
        <v>55</v>
      </c>
      <c r="B70" s="218" t="s">
        <v>276</v>
      </c>
      <c r="C70" s="73">
        <v>0</v>
      </c>
      <c r="D70" s="73">
        <f t="shared" si="1"/>
        <v>1753.4632128818955</v>
      </c>
      <c r="E70" s="73">
        <f t="shared" si="2"/>
        <v>192.8809534170085</v>
      </c>
      <c r="F70" s="73"/>
      <c r="G70" s="73">
        <f t="shared" si="3"/>
        <v>690.05582317073186</v>
      </c>
      <c r="H70" s="73">
        <f t="shared" si="4"/>
        <v>2636.3999894696358</v>
      </c>
      <c r="I70" s="74">
        <f>Смета!$E$21</f>
        <v>0.10000021516836566</v>
      </c>
      <c r="J70" s="73">
        <f t="shared" si="5"/>
        <v>175.3466985780033</v>
      </c>
      <c r="K70" s="73">
        <f t="shared" si="6"/>
        <v>2811.7466880476391</v>
      </c>
      <c r="L70" s="75">
        <f t="shared" si="7"/>
        <v>421.76200320714582</v>
      </c>
      <c r="M70" s="217">
        <f t="shared" si="8"/>
        <v>3233.5086912547849</v>
      </c>
      <c r="N70" s="90"/>
    </row>
    <row r="71" spans="1:14" ht="49.5" customHeight="1" x14ac:dyDescent="0.25">
      <c r="A71" s="216">
        <v>56</v>
      </c>
      <c r="B71" s="218" t="s">
        <v>277</v>
      </c>
      <c r="C71" s="73">
        <v>0</v>
      </c>
      <c r="D71" s="73">
        <f t="shared" si="1"/>
        <v>1753.4632128818955</v>
      </c>
      <c r="E71" s="73">
        <f t="shared" si="2"/>
        <v>192.8809534170085</v>
      </c>
      <c r="F71" s="73"/>
      <c r="G71" s="73">
        <f t="shared" si="3"/>
        <v>690.05582317073186</v>
      </c>
      <c r="H71" s="73">
        <f t="shared" si="4"/>
        <v>2636.3999894696358</v>
      </c>
      <c r="I71" s="74">
        <f>Смета!$E$21</f>
        <v>0.10000021516836566</v>
      </c>
      <c r="J71" s="73">
        <f t="shared" si="5"/>
        <v>175.3466985780033</v>
      </c>
      <c r="K71" s="73">
        <f t="shared" si="6"/>
        <v>2811.7466880476391</v>
      </c>
      <c r="L71" s="75">
        <f t="shared" si="7"/>
        <v>421.76200320714582</v>
      </c>
      <c r="M71" s="217">
        <f t="shared" si="8"/>
        <v>3233.5086912547849</v>
      </c>
      <c r="N71" s="90"/>
    </row>
    <row r="72" spans="1:14" ht="49.5" customHeight="1" x14ac:dyDescent="0.25">
      <c r="A72" s="216">
        <v>57</v>
      </c>
      <c r="B72" s="218" t="s">
        <v>278</v>
      </c>
      <c r="C72" s="73">
        <v>0</v>
      </c>
      <c r="D72" s="73">
        <f t="shared" si="1"/>
        <v>1753.4632128818955</v>
      </c>
      <c r="E72" s="73">
        <f t="shared" si="2"/>
        <v>192.8809534170085</v>
      </c>
      <c r="F72" s="73"/>
      <c r="G72" s="73">
        <f t="shared" si="3"/>
        <v>690.05582317073186</v>
      </c>
      <c r="H72" s="73">
        <f t="shared" si="4"/>
        <v>2636.3999894696358</v>
      </c>
      <c r="I72" s="74">
        <f>Смета!$E$21</f>
        <v>0.10000021516836566</v>
      </c>
      <c r="J72" s="73">
        <f t="shared" si="5"/>
        <v>175.3466985780033</v>
      </c>
      <c r="K72" s="73">
        <f t="shared" si="6"/>
        <v>2811.7466880476391</v>
      </c>
      <c r="L72" s="75">
        <f t="shared" si="7"/>
        <v>421.76200320714582</v>
      </c>
      <c r="M72" s="217">
        <f t="shared" si="8"/>
        <v>3233.5086912547849</v>
      </c>
      <c r="N72" s="90"/>
    </row>
    <row r="73" spans="1:14" x14ac:dyDescent="0.25">
      <c r="A73" s="107"/>
      <c r="B73" s="108"/>
      <c r="C73" s="109"/>
      <c r="D73" s="109"/>
      <c r="E73" s="109"/>
      <c r="F73" s="109"/>
      <c r="G73" s="109"/>
      <c r="H73" s="109"/>
      <c r="I73" s="109"/>
      <c r="J73" s="109"/>
      <c r="K73" s="109"/>
      <c r="L73" s="90"/>
      <c r="M73" s="90"/>
      <c r="N73" s="90"/>
    </row>
    <row r="74" spans="1:14" ht="18.75" x14ac:dyDescent="0.25">
      <c r="A74" s="318" t="s">
        <v>26</v>
      </c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</row>
    <row r="75" spans="1:14" ht="15.75" thickBot="1" x14ac:dyDescent="0.3">
      <c r="A75" s="38"/>
      <c r="B75" s="39"/>
      <c r="C75" s="40"/>
      <c r="D75" s="40"/>
      <c r="E75" s="41"/>
      <c r="F75" s="41"/>
      <c r="G75" s="40"/>
      <c r="H75" s="41"/>
      <c r="I75" s="42"/>
      <c r="J75" s="41"/>
      <c r="K75" s="41"/>
    </row>
    <row r="76" spans="1:14" ht="51.75" thickBot="1" x14ac:dyDescent="0.3">
      <c r="A76" s="43" t="s">
        <v>7</v>
      </c>
      <c r="B76" s="44" t="s">
        <v>27</v>
      </c>
      <c r="C76" s="44" t="s">
        <v>28</v>
      </c>
      <c r="D76" s="44" t="s">
        <v>29</v>
      </c>
      <c r="E76" s="45" t="s">
        <v>30</v>
      </c>
      <c r="F76" s="44" t="s">
        <v>31</v>
      </c>
    </row>
    <row r="77" spans="1:14" ht="15.75" thickBot="1" x14ac:dyDescent="0.3">
      <c r="A77" s="220"/>
      <c r="B77" s="221"/>
      <c r="C77" s="222"/>
      <c r="D77" s="223"/>
      <c r="E77" s="224"/>
      <c r="F77" s="225"/>
      <c r="G77" s="110"/>
    </row>
    <row r="78" spans="1:14" ht="18.75" x14ac:dyDescent="0.25">
      <c r="A78" s="328" t="s">
        <v>37</v>
      </c>
      <c r="B78" s="328"/>
      <c r="C78" s="328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</row>
    <row r="79" spans="1:14" ht="19.5" thickBot="1" x14ac:dyDescent="0.3">
      <c r="A79" s="232"/>
      <c r="B79" s="232"/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232" t="s">
        <v>38</v>
      </c>
    </row>
    <row r="80" spans="1:14" ht="15.75" customHeight="1" thickBot="1" x14ac:dyDescent="0.3">
      <c r="A80" s="319" t="s">
        <v>7</v>
      </c>
      <c r="B80" s="319" t="s">
        <v>39</v>
      </c>
      <c r="C80" s="337" t="s">
        <v>40</v>
      </c>
      <c r="D80" s="337" t="s">
        <v>41</v>
      </c>
      <c r="E80" s="337" t="s">
        <v>102</v>
      </c>
      <c r="F80" s="319" t="s">
        <v>43</v>
      </c>
      <c r="G80" s="340" t="s">
        <v>188</v>
      </c>
      <c r="H80" s="341"/>
      <c r="I80" s="342"/>
      <c r="J80" s="315" t="s">
        <v>44</v>
      </c>
      <c r="K80" s="319" t="s">
        <v>45</v>
      </c>
      <c r="L80" s="319" t="s">
        <v>46</v>
      </c>
      <c r="M80" s="319" t="s">
        <v>47</v>
      </c>
      <c r="N80" s="319" t="s">
        <v>48</v>
      </c>
    </row>
    <row r="81" spans="1:14" ht="15" customHeight="1" x14ac:dyDescent="0.25">
      <c r="A81" s="320"/>
      <c r="B81" s="320"/>
      <c r="C81" s="338"/>
      <c r="D81" s="338"/>
      <c r="E81" s="338"/>
      <c r="F81" s="320"/>
      <c r="G81" s="315" t="s">
        <v>49</v>
      </c>
      <c r="H81" s="315" t="s">
        <v>50</v>
      </c>
      <c r="I81" s="332" t="s">
        <v>187</v>
      </c>
      <c r="J81" s="316"/>
      <c r="K81" s="320"/>
      <c r="L81" s="320"/>
      <c r="M81" s="320"/>
      <c r="N81" s="320"/>
    </row>
    <row r="82" spans="1:14" x14ac:dyDescent="0.25">
      <c r="A82" s="320"/>
      <c r="B82" s="320"/>
      <c r="C82" s="338"/>
      <c r="D82" s="338"/>
      <c r="E82" s="338"/>
      <c r="F82" s="320"/>
      <c r="G82" s="316"/>
      <c r="H82" s="316"/>
      <c r="I82" s="320"/>
      <c r="J82" s="316"/>
      <c r="K82" s="320"/>
      <c r="L82" s="320"/>
      <c r="M82" s="320"/>
      <c r="N82" s="320"/>
    </row>
    <row r="83" spans="1:14" ht="15.75" thickBot="1" x14ac:dyDescent="0.3">
      <c r="A83" s="320"/>
      <c r="B83" s="320"/>
      <c r="C83" s="338"/>
      <c r="D83" s="338"/>
      <c r="E83" s="338"/>
      <c r="F83" s="320"/>
      <c r="G83" s="317"/>
      <c r="H83" s="317"/>
      <c r="I83" s="321"/>
      <c r="J83" s="316"/>
      <c r="K83" s="320"/>
      <c r="L83" s="320"/>
      <c r="M83" s="320"/>
      <c r="N83" s="320"/>
    </row>
    <row r="84" spans="1:14" x14ac:dyDescent="0.25">
      <c r="A84" s="320"/>
      <c r="B84" s="320"/>
      <c r="C84" s="338"/>
      <c r="D84" s="338"/>
      <c r="E84" s="338"/>
      <c r="F84" s="320"/>
      <c r="G84" s="343" t="s">
        <v>19</v>
      </c>
      <c r="H84" s="333" t="s">
        <v>19</v>
      </c>
      <c r="I84" s="335" t="s">
        <v>19</v>
      </c>
      <c r="J84" s="316"/>
      <c r="K84" s="320"/>
      <c r="L84" s="320"/>
      <c r="M84" s="320"/>
      <c r="N84" s="320"/>
    </row>
    <row r="85" spans="1:14" ht="15.75" thickBot="1" x14ac:dyDescent="0.3">
      <c r="A85" s="321"/>
      <c r="B85" s="321"/>
      <c r="C85" s="339"/>
      <c r="D85" s="339"/>
      <c r="E85" s="339"/>
      <c r="F85" s="321"/>
      <c r="G85" s="344"/>
      <c r="H85" s="334"/>
      <c r="I85" s="336"/>
      <c r="J85" s="317"/>
      <c r="K85" s="321"/>
      <c r="L85" s="321"/>
      <c r="M85" s="321"/>
      <c r="N85" s="321"/>
    </row>
    <row r="86" spans="1:14" ht="13.5" customHeight="1" x14ac:dyDescent="0.25">
      <c r="A86" s="111">
        <v>1</v>
      </c>
      <c r="B86" s="112">
        <v>2</v>
      </c>
      <c r="C86" s="113">
        <v>3</v>
      </c>
      <c r="D86" s="113">
        <v>4</v>
      </c>
      <c r="E86" s="113">
        <v>5</v>
      </c>
      <c r="F86" s="113">
        <v>6</v>
      </c>
      <c r="G86" s="113">
        <v>9</v>
      </c>
      <c r="H86" s="113">
        <v>11</v>
      </c>
      <c r="I86" s="51">
        <v>13</v>
      </c>
      <c r="J86" s="114">
        <v>14</v>
      </c>
      <c r="K86" s="114">
        <v>15</v>
      </c>
      <c r="L86" s="114">
        <v>16</v>
      </c>
      <c r="M86" s="113">
        <v>17</v>
      </c>
      <c r="N86" s="115">
        <v>18</v>
      </c>
    </row>
    <row r="87" spans="1:14" x14ac:dyDescent="0.25">
      <c r="A87" s="229">
        <v>1</v>
      </c>
      <c r="B87" s="230" t="s">
        <v>200</v>
      </c>
      <c r="C87" s="229" t="s">
        <v>103</v>
      </c>
      <c r="D87" s="229">
        <v>4.7699999999999996</v>
      </c>
      <c r="E87" s="117">
        <v>17697</v>
      </c>
      <c r="F87" s="117">
        <f>D87*E87*2.02</f>
        <v>170517.67379999999</v>
      </c>
      <c r="G87" s="231"/>
      <c r="H87" s="117">
        <f>E87*150%</f>
        <v>26545.5</v>
      </c>
      <c r="I87" s="117">
        <f>F87*10%</f>
        <v>17051.767380000001</v>
      </c>
      <c r="J87" s="117">
        <f t="shared" ref="J87" si="9">F87+G87+H87+I87</f>
        <v>214114.94117999999</v>
      </c>
      <c r="K87" s="117">
        <f>J87/163.33</f>
        <v>1310.9345569093246</v>
      </c>
      <c r="L87" s="117">
        <f>K87/60</f>
        <v>21.848909281822078</v>
      </c>
      <c r="M87" s="117">
        <v>40</v>
      </c>
      <c r="N87" s="219">
        <f>L87*M87</f>
        <v>873.95637127288308</v>
      </c>
    </row>
    <row r="88" spans="1:14" s="226" customFormat="1" x14ac:dyDescent="0.25">
      <c r="A88" s="229">
        <v>2</v>
      </c>
      <c r="B88" s="230" t="s">
        <v>53</v>
      </c>
      <c r="C88" s="229" t="s">
        <v>106</v>
      </c>
      <c r="D88" s="229">
        <v>4.46</v>
      </c>
      <c r="E88" s="117">
        <v>17697</v>
      </c>
      <c r="F88" s="117">
        <f>D88*E88*1.63</f>
        <v>128653.65059999998</v>
      </c>
      <c r="G88" s="231"/>
      <c r="H88" s="117">
        <f>E88*100%</f>
        <v>17697</v>
      </c>
      <c r="I88" s="117">
        <f>F88*10%</f>
        <v>12865.365059999998</v>
      </c>
      <c r="J88" s="117">
        <f>F88+G88+H88+I88</f>
        <v>159216.01566</v>
      </c>
      <c r="K88" s="117">
        <f>J88/163.33</f>
        <v>974.81182673115768</v>
      </c>
      <c r="L88" s="117">
        <f>K88/60</f>
        <v>16.246863778852628</v>
      </c>
      <c r="M88" s="117">
        <v>40</v>
      </c>
      <c r="N88" s="219">
        <f>L88*M88</f>
        <v>649.87455115410512</v>
      </c>
    </row>
    <row r="89" spans="1:14" ht="15.75" thickBot="1" x14ac:dyDescent="0.3">
      <c r="A89" s="234">
        <v>3</v>
      </c>
      <c r="B89" s="235" t="s">
        <v>186</v>
      </c>
      <c r="C89" s="234" t="s">
        <v>103</v>
      </c>
      <c r="D89" s="234">
        <v>2.89</v>
      </c>
      <c r="E89" s="236">
        <v>17697</v>
      </c>
      <c r="F89" s="236">
        <f t="shared" ref="F89" si="10">D89*E89</f>
        <v>51144.33</v>
      </c>
      <c r="G89" s="237"/>
      <c r="H89" s="236"/>
      <c r="I89" s="236">
        <f t="shared" ref="I89" si="11">F89*10%</f>
        <v>5114.4330000000009</v>
      </c>
      <c r="J89" s="236">
        <f t="shared" ref="J89" si="12">F89+G89+H89+I89</f>
        <v>56258.763000000006</v>
      </c>
      <c r="K89" s="236">
        <f t="shared" ref="K89" si="13">J89/163.33</f>
        <v>344.44843568236087</v>
      </c>
      <c r="L89" s="236">
        <f t="shared" ref="L89" si="14">K89/60</f>
        <v>5.740807261372681</v>
      </c>
      <c r="M89" s="236">
        <v>40</v>
      </c>
      <c r="N89" s="238">
        <f t="shared" ref="N89" si="15">L89*M89</f>
        <v>229.63229045490723</v>
      </c>
    </row>
    <row r="90" spans="1:14" ht="15.75" thickBot="1" x14ac:dyDescent="0.3">
      <c r="A90" s="329" t="s">
        <v>194</v>
      </c>
      <c r="B90" s="330"/>
      <c r="C90" s="330"/>
      <c r="D90" s="330"/>
      <c r="E90" s="331"/>
      <c r="F90" s="239"/>
      <c r="G90" s="239"/>
      <c r="H90" s="239"/>
      <c r="I90" s="239"/>
      <c r="J90" s="239"/>
      <c r="K90" s="239"/>
      <c r="L90" s="239"/>
      <c r="M90" s="239"/>
      <c r="N90" s="240">
        <f>SUM(N87:N89)</f>
        <v>1753.4632128818955</v>
      </c>
    </row>
    <row r="91" spans="1:14" ht="19.5" thickBot="1" x14ac:dyDescent="0.3">
      <c r="A91" s="322" t="s">
        <v>16</v>
      </c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22"/>
    </row>
    <row r="92" spans="1:14" ht="77.25" thickBot="1" x14ac:dyDescent="0.3">
      <c r="A92" s="3" t="s">
        <v>7</v>
      </c>
      <c r="B92" s="4" t="s">
        <v>55</v>
      </c>
      <c r="C92" s="5" t="s">
        <v>56</v>
      </c>
      <c r="D92" s="6" t="s">
        <v>57</v>
      </c>
      <c r="E92" s="4" t="s">
        <v>58</v>
      </c>
      <c r="F92" s="7" t="s">
        <v>59</v>
      </c>
      <c r="G92" s="8" t="s">
        <v>60</v>
      </c>
      <c r="H92" s="4" t="s">
        <v>61</v>
      </c>
      <c r="I92" s="4" t="s">
        <v>62</v>
      </c>
      <c r="J92" s="9" t="s">
        <v>63</v>
      </c>
      <c r="K92" s="10" t="s">
        <v>64</v>
      </c>
      <c r="L92" s="11" t="s">
        <v>65</v>
      </c>
    </row>
    <row r="93" spans="1:14" ht="51" x14ac:dyDescent="0.25">
      <c r="A93" s="124">
        <v>1</v>
      </c>
      <c r="B93" s="243" t="s">
        <v>201</v>
      </c>
      <c r="C93" s="91">
        <v>1</v>
      </c>
      <c r="D93" s="92">
        <v>2021</v>
      </c>
      <c r="E93" s="93">
        <v>22633831</v>
      </c>
      <c r="F93" s="93">
        <f>E93*0%</f>
        <v>0</v>
      </c>
      <c r="G93" s="136">
        <v>0.1</v>
      </c>
      <c r="H93" s="93">
        <f>E93-F93</f>
        <v>22633831</v>
      </c>
      <c r="I93" s="93">
        <f>H93*G93/100</f>
        <v>22633.831000000002</v>
      </c>
      <c r="J93" s="93">
        <f>I93/1968</f>
        <v>11.500930386178863</v>
      </c>
      <c r="K93" s="93">
        <v>60</v>
      </c>
      <c r="L93" s="126">
        <f>J93*K93</f>
        <v>690.05582317073186</v>
      </c>
    </row>
    <row r="94" spans="1:14" x14ac:dyDescent="0.25">
      <c r="E94" s="141"/>
    </row>
    <row r="95" spans="1:14" ht="18.75" x14ac:dyDescent="0.3">
      <c r="B95" s="130"/>
      <c r="C95" s="131"/>
      <c r="D95" s="132"/>
      <c r="E95" s="141"/>
      <c r="G95" s="133"/>
      <c r="H95" s="134"/>
      <c r="J95" s="127"/>
      <c r="K95" s="128"/>
    </row>
    <row r="96" spans="1:14" ht="18.75" x14ac:dyDescent="0.3">
      <c r="B96" s="143" t="s">
        <v>67</v>
      </c>
      <c r="C96" s="143" t="s">
        <v>68</v>
      </c>
      <c r="D96" s="144"/>
      <c r="E96" s="142" t="s">
        <v>69</v>
      </c>
      <c r="F96" s="135"/>
      <c r="G96" s="133"/>
      <c r="H96" s="134"/>
      <c r="J96" s="127"/>
      <c r="K96" s="128"/>
    </row>
    <row r="97" spans="2:11" ht="18.75" x14ac:dyDescent="0.3">
      <c r="B97" s="145"/>
      <c r="C97" s="143"/>
      <c r="D97" s="144"/>
      <c r="E97" s="142"/>
      <c r="F97" s="135"/>
      <c r="G97" s="133"/>
      <c r="H97" s="134"/>
      <c r="J97" s="127"/>
      <c r="K97" s="128"/>
    </row>
    <row r="98" spans="2:11" ht="18.75" x14ac:dyDescent="0.3">
      <c r="B98" s="145" t="s">
        <v>70</v>
      </c>
      <c r="C98" s="143" t="s">
        <v>68</v>
      </c>
      <c r="D98" s="144"/>
      <c r="E98" s="135" t="s">
        <v>71</v>
      </c>
      <c r="F98" s="144"/>
      <c r="G98" s="133"/>
      <c r="H98" s="134"/>
      <c r="J98" s="127"/>
      <c r="K98" s="128"/>
    </row>
    <row r="99" spans="2:11" ht="15.75" x14ac:dyDescent="0.25">
      <c r="B99" s="145"/>
      <c r="C99" s="135"/>
      <c r="D99" s="135"/>
      <c r="E99" s="135"/>
      <c r="F99" s="135"/>
    </row>
    <row r="100" spans="2:11" ht="15.75" x14ac:dyDescent="0.25">
      <c r="B100" s="135"/>
      <c r="C100" s="143"/>
      <c r="D100" s="135"/>
      <c r="E100" s="135"/>
      <c r="F100" s="135"/>
    </row>
    <row r="101" spans="2:11" ht="15.75" x14ac:dyDescent="0.25">
      <c r="B101" s="135"/>
      <c r="C101" s="129"/>
      <c r="D101" s="129"/>
      <c r="E101" s="129"/>
    </row>
  </sheetData>
  <mergeCells count="42">
    <mergeCell ref="A8:N8"/>
    <mergeCell ref="H1:N1"/>
    <mergeCell ref="H2:N2"/>
    <mergeCell ref="H3:N3"/>
    <mergeCell ref="H4:N4"/>
    <mergeCell ref="H5:N5"/>
    <mergeCell ref="A9:N9"/>
    <mergeCell ref="A10:N10"/>
    <mergeCell ref="A12:A14"/>
    <mergeCell ref="B12:B14"/>
    <mergeCell ref="C12:H12"/>
    <mergeCell ref="I12:J12"/>
    <mergeCell ref="K12:K14"/>
    <mergeCell ref="L12:L14"/>
    <mergeCell ref="M12:M14"/>
    <mergeCell ref="D13:F13"/>
    <mergeCell ref="H13:H14"/>
    <mergeCell ref="I13:I14"/>
    <mergeCell ref="J13:J14"/>
    <mergeCell ref="G13:G14"/>
    <mergeCell ref="A74:N74"/>
    <mergeCell ref="A78:N78"/>
    <mergeCell ref="C80:C85"/>
    <mergeCell ref="D80:D85"/>
    <mergeCell ref="E80:E85"/>
    <mergeCell ref="F80:F85"/>
    <mergeCell ref="H84:H85"/>
    <mergeCell ref="I84:I85"/>
    <mergeCell ref="A90:E90"/>
    <mergeCell ref="A91:N91"/>
    <mergeCell ref="G80:I80"/>
    <mergeCell ref="J80:J85"/>
    <mergeCell ref="K80:K85"/>
    <mergeCell ref="L80:L85"/>
    <mergeCell ref="M80:M85"/>
    <mergeCell ref="N80:N85"/>
    <mergeCell ref="G81:G83"/>
    <mergeCell ref="H81:H83"/>
    <mergeCell ref="I81:I83"/>
    <mergeCell ref="G84:G85"/>
    <mergeCell ref="A80:A85"/>
    <mergeCell ref="B80:B85"/>
  </mergeCells>
  <pageMargins left="0" right="0" top="0" bottom="0" header="0.31496062992125984" footer="0.31496062992125984"/>
  <pageSetup paperSize="9"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sqref="A1:C23"/>
    </sheetView>
  </sheetViews>
  <sheetFormatPr defaultRowHeight="15" x14ac:dyDescent="0.25"/>
  <cols>
    <col min="1" max="1" width="6.7109375" customWidth="1"/>
    <col min="2" max="2" width="58.28515625" customWidth="1"/>
    <col min="3" max="3" width="16.5703125" customWidth="1"/>
  </cols>
  <sheetData>
    <row r="1" spans="1:11" ht="18.75" x14ac:dyDescent="0.3">
      <c r="B1" s="392" t="s">
        <v>290</v>
      </c>
      <c r="C1" s="392"/>
      <c r="D1" s="256"/>
      <c r="E1" s="256"/>
      <c r="F1" s="256"/>
      <c r="G1" s="256"/>
      <c r="H1" s="256"/>
      <c r="I1" s="256"/>
    </row>
    <row r="2" spans="1:11" ht="18.75" x14ac:dyDescent="0.3">
      <c r="B2" s="393" t="s">
        <v>307</v>
      </c>
      <c r="C2" s="393"/>
    </row>
    <row r="3" spans="1:11" s="89" customFormat="1" ht="18.75" x14ac:dyDescent="0.3">
      <c r="B3" s="393" t="s">
        <v>291</v>
      </c>
      <c r="C3" s="393"/>
    </row>
    <row r="4" spans="1:11" s="89" customFormat="1" ht="18.75" x14ac:dyDescent="0.3">
      <c r="B4" s="393" t="s">
        <v>292</v>
      </c>
      <c r="C4" s="393"/>
    </row>
    <row r="5" spans="1:11" s="89" customFormat="1" ht="18.75" x14ac:dyDescent="0.3">
      <c r="B5" s="393" t="s">
        <v>319</v>
      </c>
      <c r="C5" s="393"/>
    </row>
    <row r="6" spans="1:11" s="89" customFormat="1" x14ac:dyDescent="0.25"/>
    <row r="7" spans="1:11" s="89" customFormat="1" x14ac:dyDescent="0.25"/>
    <row r="8" spans="1:11" ht="18.75" x14ac:dyDescent="0.3">
      <c r="A8" s="346" t="s">
        <v>287</v>
      </c>
      <c r="B8" s="346"/>
      <c r="C8" s="346"/>
      <c r="D8" s="254"/>
      <c r="E8" s="254"/>
      <c r="F8" s="254"/>
      <c r="G8" s="254"/>
      <c r="H8" s="254"/>
      <c r="I8" s="254"/>
      <c r="J8" s="254"/>
      <c r="K8" s="254"/>
    </row>
    <row r="9" spans="1:11" ht="18.75" customHeight="1" x14ac:dyDescent="0.25">
      <c r="A9" s="347" t="s">
        <v>72</v>
      </c>
      <c r="B9" s="347"/>
      <c r="C9" s="347"/>
      <c r="D9" s="255"/>
      <c r="E9" s="255"/>
      <c r="F9" s="255"/>
      <c r="G9" s="255"/>
      <c r="H9" s="255"/>
      <c r="I9" s="255"/>
      <c r="J9" s="255"/>
      <c r="K9" s="255"/>
    </row>
    <row r="10" spans="1:11" ht="18.75" x14ac:dyDescent="0.3">
      <c r="A10" s="346" t="s">
        <v>305</v>
      </c>
      <c r="B10" s="346"/>
      <c r="C10" s="346"/>
      <c r="D10" s="254"/>
      <c r="E10" s="254"/>
      <c r="F10" s="254"/>
      <c r="G10" s="254"/>
      <c r="H10" s="254"/>
      <c r="I10" s="254"/>
      <c r="J10" s="254"/>
      <c r="K10" s="254"/>
    </row>
    <row r="11" spans="1:11" x14ac:dyDescent="0.25">
      <c r="A11" s="257"/>
      <c r="B11" s="257"/>
      <c r="C11" s="257"/>
    </row>
    <row r="12" spans="1:11" ht="16.5" thickBot="1" x14ac:dyDescent="0.3">
      <c r="A12" s="258" t="s">
        <v>7</v>
      </c>
      <c r="B12" s="258" t="s">
        <v>288</v>
      </c>
      <c r="C12" s="258" t="s">
        <v>289</v>
      </c>
    </row>
    <row r="13" spans="1:11" ht="15.75" x14ac:dyDescent="0.25">
      <c r="A13" s="259">
        <v>1</v>
      </c>
      <c r="B13" s="277" t="s">
        <v>280</v>
      </c>
      <c r="C13" s="260">
        <v>4000</v>
      </c>
    </row>
    <row r="14" spans="1:11" s="89" customFormat="1" x14ac:dyDescent="0.25"/>
    <row r="16" spans="1:11" x14ac:dyDescent="0.25">
      <c r="B16" s="245" t="s">
        <v>321</v>
      </c>
    </row>
    <row r="19" spans="2:2" x14ac:dyDescent="0.25">
      <c r="B19" s="261" t="s">
        <v>320</v>
      </c>
    </row>
  </sheetData>
  <mergeCells count="8">
    <mergeCell ref="A8:C8"/>
    <mergeCell ref="A9:C9"/>
    <mergeCell ref="A10:C10"/>
    <mergeCell ref="B1:C1"/>
    <mergeCell ref="B2:C2"/>
    <mergeCell ref="B3:C3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7" zoomScaleNormal="100" workbookViewId="0">
      <selection activeCell="E39" sqref="E39"/>
    </sheetView>
  </sheetViews>
  <sheetFormatPr defaultRowHeight="15" x14ac:dyDescent="0.25"/>
  <cols>
    <col min="2" max="2" width="26.42578125" customWidth="1"/>
    <col min="3" max="3" width="13" customWidth="1"/>
    <col min="4" max="4" width="16.42578125" customWidth="1"/>
    <col min="5" max="5" width="12.5703125" customWidth="1"/>
    <col min="7" max="7" width="12.5703125" customWidth="1"/>
    <col min="8" max="8" width="10.140625" customWidth="1"/>
    <col min="9" max="9" width="11.7109375" customWidth="1"/>
    <col min="11" max="11" width="13.42578125" customWidth="1"/>
    <col min="12" max="13" width="11.5703125" customWidth="1"/>
  </cols>
  <sheetData>
    <row r="1" spans="1:19" ht="18.75" x14ac:dyDescent="0.3">
      <c r="A1" s="94"/>
      <c r="B1" s="95"/>
      <c r="C1" s="96"/>
      <c r="D1" s="96"/>
      <c r="E1" s="94"/>
      <c r="F1" s="94"/>
      <c r="G1" s="96"/>
      <c r="H1" s="94"/>
      <c r="I1" s="345"/>
      <c r="J1" s="345"/>
      <c r="K1" s="345"/>
      <c r="L1" s="90"/>
      <c r="M1" s="97"/>
      <c r="N1" s="97" t="s">
        <v>0</v>
      </c>
      <c r="O1" s="97"/>
      <c r="P1" s="97"/>
      <c r="Q1" s="97"/>
      <c r="R1" s="89"/>
      <c r="S1" s="89"/>
    </row>
    <row r="2" spans="1:19" ht="18.75" x14ac:dyDescent="0.3">
      <c r="A2" s="94"/>
      <c r="B2" s="95"/>
      <c r="C2" s="96"/>
      <c r="D2" s="96"/>
      <c r="E2" s="94"/>
      <c r="F2" s="94"/>
      <c r="G2" s="96"/>
      <c r="H2" s="94"/>
      <c r="I2" s="252"/>
      <c r="J2" s="252"/>
      <c r="K2" s="252"/>
      <c r="L2" s="90"/>
      <c r="M2" s="97"/>
      <c r="N2" s="97"/>
      <c r="O2" s="97"/>
      <c r="P2" s="97"/>
      <c r="Q2" s="253" t="s">
        <v>307</v>
      </c>
      <c r="R2" s="89"/>
      <c r="S2" s="89"/>
    </row>
    <row r="3" spans="1:19" ht="18.75" x14ac:dyDescent="0.3">
      <c r="A3" s="94"/>
      <c r="B3" s="95"/>
      <c r="C3" s="96"/>
      <c r="D3" s="96"/>
      <c r="E3" s="94"/>
      <c r="F3" s="94"/>
      <c r="G3" s="96"/>
      <c r="H3" s="94"/>
      <c r="I3" s="252"/>
      <c r="J3" s="252"/>
      <c r="K3" s="252"/>
      <c r="L3" s="90"/>
      <c r="M3" s="97"/>
      <c r="N3" s="97"/>
      <c r="O3" s="97"/>
      <c r="P3" s="97"/>
      <c r="Q3" s="253" t="s">
        <v>310</v>
      </c>
      <c r="R3" s="89"/>
      <c r="S3" s="89"/>
    </row>
    <row r="4" spans="1:19" ht="18.75" x14ac:dyDescent="0.3">
      <c r="A4" s="94"/>
      <c r="B4" s="95"/>
      <c r="C4" s="96"/>
      <c r="D4" s="96"/>
      <c r="E4" s="94"/>
      <c r="F4" s="94"/>
      <c r="G4" s="96"/>
      <c r="H4" s="94"/>
      <c r="I4" s="252"/>
      <c r="J4" s="252"/>
      <c r="K4" s="252"/>
      <c r="L4" s="90"/>
      <c r="M4" s="97"/>
      <c r="N4" s="97"/>
      <c r="O4" s="97"/>
      <c r="P4" s="97"/>
      <c r="Q4" s="253" t="s">
        <v>3</v>
      </c>
      <c r="R4" s="89"/>
      <c r="S4" s="89"/>
    </row>
    <row r="5" spans="1:19" ht="18.75" x14ac:dyDescent="0.3">
      <c r="A5" s="94"/>
      <c r="B5" s="95"/>
      <c r="C5" s="96"/>
      <c r="D5" s="96"/>
      <c r="E5" s="94"/>
      <c r="F5" s="94"/>
      <c r="G5" s="96"/>
      <c r="H5" s="94"/>
      <c r="I5" s="252"/>
      <c r="J5" s="252"/>
      <c r="K5" s="252"/>
      <c r="L5" s="90"/>
      <c r="M5" s="97"/>
      <c r="N5" s="97"/>
      <c r="O5" s="97"/>
      <c r="P5" s="97"/>
      <c r="Q5" s="253" t="s">
        <v>338</v>
      </c>
      <c r="R5" s="89"/>
      <c r="S5" s="89"/>
    </row>
    <row r="6" spans="1:19" ht="18.75" x14ac:dyDescent="0.3">
      <c r="A6" s="346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89"/>
      <c r="S6" s="89"/>
    </row>
    <row r="7" spans="1:19" ht="18.75" x14ac:dyDescent="0.25">
      <c r="A7" s="347" t="s">
        <v>308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89"/>
      <c r="S7" s="89"/>
    </row>
    <row r="8" spans="1:19" ht="18.75" x14ac:dyDescent="0.3">
      <c r="A8" s="346" t="s">
        <v>337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89"/>
      <c r="S8" s="89"/>
    </row>
    <row r="9" spans="1:19" ht="16.5" thickBot="1" x14ac:dyDescent="0.3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89"/>
      <c r="S9" s="89"/>
    </row>
    <row r="10" spans="1:19" ht="16.5" thickBot="1" x14ac:dyDescent="0.3">
      <c r="A10" s="348" t="s">
        <v>7</v>
      </c>
      <c r="B10" s="348" t="s">
        <v>8</v>
      </c>
      <c r="C10" s="351" t="s">
        <v>9</v>
      </c>
      <c r="D10" s="352"/>
      <c r="E10" s="352"/>
      <c r="F10" s="352"/>
      <c r="G10" s="353"/>
      <c r="H10" s="354"/>
      <c r="I10" s="351" t="s">
        <v>10</v>
      </c>
      <c r="J10" s="354"/>
      <c r="K10" s="348" t="s">
        <v>11</v>
      </c>
      <c r="L10" s="355" t="s">
        <v>12</v>
      </c>
      <c r="M10" s="355" t="s">
        <v>13</v>
      </c>
      <c r="N10" s="89"/>
      <c r="O10" s="89"/>
      <c r="P10" s="89"/>
      <c r="Q10" s="89"/>
      <c r="R10" s="89"/>
      <c r="S10" s="89"/>
    </row>
    <row r="11" spans="1:19" ht="48" thickBot="1" x14ac:dyDescent="0.3">
      <c r="A11" s="349"/>
      <c r="B11" s="349"/>
      <c r="C11" s="100" t="s">
        <v>14</v>
      </c>
      <c r="D11" s="360" t="s">
        <v>15</v>
      </c>
      <c r="E11" s="361"/>
      <c r="F11" s="362"/>
      <c r="G11" s="363" t="s">
        <v>16</v>
      </c>
      <c r="H11" s="348" t="s">
        <v>17</v>
      </c>
      <c r="I11" s="348" t="s">
        <v>18</v>
      </c>
      <c r="J11" s="348" t="s">
        <v>19</v>
      </c>
      <c r="K11" s="349"/>
      <c r="L11" s="356"/>
      <c r="M11" s="358"/>
      <c r="N11" s="89"/>
      <c r="O11" s="89"/>
      <c r="P11" s="89"/>
      <c r="Q11" s="89"/>
      <c r="R11" s="89"/>
      <c r="S11" s="89"/>
    </row>
    <row r="12" spans="1:19" ht="87" customHeight="1" thickBot="1" x14ac:dyDescent="0.3">
      <c r="A12" s="350"/>
      <c r="B12" s="350"/>
      <c r="C12" s="101" t="s">
        <v>20</v>
      </c>
      <c r="D12" s="102" t="s">
        <v>21</v>
      </c>
      <c r="E12" s="103" t="s">
        <v>22</v>
      </c>
      <c r="F12" s="103" t="s">
        <v>23</v>
      </c>
      <c r="G12" s="364"/>
      <c r="H12" s="350"/>
      <c r="I12" s="350"/>
      <c r="J12" s="350"/>
      <c r="K12" s="350"/>
      <c r="L12" s="357"/>
      <c r="M12" s="359"/>
      <c r="N12" s="89"/>
      <c r="O12" s="89"/>
      <c r="P12" s="89"/>
      <c r="Q12" s="89"/>
      <c r="R12" s="89"/>
      <c r="S12" s="89"/>
    </row>
    <row r="13" spans="1:19" ht="15.75" x14ac:dyDescent="0.25">
      <c r="A13" s="23">
        <v>1</v>
      </c>
      <c r="B13" s="24">
        <v>2</v>
      </c>
      <c r="C13" s="25">
        <v>3</v>
      </c>
      <c r="D13" s="25">
        <v>4</v>
      </c>
      <c r="E13" s="26">
        <v>5</v>
      </c>
      <c r="F13" s="26">
        <v>6</v>
      </c>
      <c r="G13" s="25">
        <v>6</v>
      </c>
      <c r="H13" s="26">
        <v>7</v>
      </c>
      <c r="I13" s="26">
        <v>8</v>
      </c>
      <c r="J13" s="26">
        <v>9</v>
      </c>
      <c r="K13" s="26">
        <v>10</v>
      </c>
      <c r="L13" s="27">
        <v>11</v>
      </c>
      <c r="M13" s="28">
        <v>12</v>
      </c>
      <c r="N13" s="89"/>
      <c r="O13" s="89"/>
      <c r="P13" s="89"/>
      <c r="Q13" s="89"/>
      <c r="R13" s="89"/>
      <c r="S13" s="89"/>
    </row>
    <row r="14" spans="1:19" ht="32.25" thickBot="1" x14ac:dyDescent="0.3">
      <c r="A14" s="29">
        <v>1</v>
      </c>
      <c r="B14" s="30" t="s">
        <v>339</v>
      </c>
      <c r="C14" s="104">
        <f>F19</f>
        <v>150</v>
      </c>
      <c r="D14" s="104">
        <f>P30</f>
        <v>2581.7705051123494</v>
      </c>
      <c r="E14" s="104">
        <f>D14*12%</f>
        <v>309.8124606134819</v>
      </c>
      <c r="F14" s="104"/>
      <c r="G14" s="104"/>
      <c r="H14" s="104">
        <f>C14+D14+E14+G14</f>
        <v>3041.5829657258314</v>
      </c>
      <c r="I14" s="105">
        <v>0.3</v>
      </c>
      <c r="J14" s="104">
        <f>D14*I14</f>
        <v>774.53115153370481</v>
      </c>
      <c r="K14" s="104">
        <f>H14+J14</f>
        <v>3816.1141172595362</v>
      </c>
      <c r="L14" s="106">
        <f>(K14*30%)</f>
        <v>1144.8342351778608</v>
      </c>
      <c r="M14" s="34">
        <f>K14+L14</f>
        <v>4960.9483524373973</v>
      </c>
      <c r="N14" s="90"/>
      <c r="O14" s="90"/>
      <c r="P14" s="90"/>
      <c r="Q14" s="90"/>
      <c r="R14" s="89"/>
      <c r="S14" s="89"/>
    </row>
    <row r="15" spans="1:19" x14ac:dyDescent="0.25">
      <c r="A15" s="107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90"/>
      <c r="M15" s="90"/>
      <c r="N15" s="90"/>
      <c r="O15" s="90"/>
      <c r="P15" s="90"/>
      <c r="Q15" s="90"/>
      <c r="R15" s="89"/>
      <c r="S15" s="89"/>
    </row>
    <row r="16" spans="1:19" ht="18.75" x14ac:dyDescent="0.25">
      <c r="A16" s="318" t="s">
        <v>26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89"/>
      <c r="S16" s="89"/>
    </row>
    <row r="17" spans="1:19" ht="15.75" thickBot="1" x14ac:dyDescent="0.3">
      <c r="A17" s="38"/>
      <c r="B17" s="39"/>
      <c r="C17" s="40"/>
      <c r="D17" s="40"/>
      <c r="E17" s="41"/>
      <c r="F17" s="41"/>
      <c r="G17" s="40"/>
      <c r="H17" s="41"/>
      <c r="I17" s="42"/>
      <c r="J17" s="41"/>
      <c r="K17" s="41"/>
      <c r="L17" s="89"/>
      <c r="M17" s="89"/>
      <c r="N17" s="89"/>
      <c r="O17" s="89"/>
      <c r="P17" s="89"/>
      <c r="Q17" s="89"/>
      <c r="R17" s="89"/>
      <c r="S17" s="89"/>
    </row>
    <row r="18" spans="1:19" ht="51" x14ac:dyDescent="0.25">
      <c r="A18" s="183" t="s">
        <v>7</v>
      </c>
      <c r="B18" s="184" t="s">
        <v>27</v>
      </c>
      <c r="C18" s="184" t="s">
        <v>28</v>
      </c>
      <c r="D18" s="184" t="s">
        <v>29</v>
      </c>
      <c r="E18" s="184" t="s">
        <v>30</v>
      </c>
      <c r="F18" s="185" t="s">
        <v>31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</row>
    <row r="19" spans="1:19" ht="25.5" x14ac:dyDescent="0.25">
      <c r="A19" s="191">
        <v>1</v>
      </c>
      <c r="B19" s="186" t="s">
        <v>115</v>
      </c>
      <c r="C19" s="187">
        <v>1</v>
      </c>
      <c r="D19" s="188">
        <v>150</v>
      </c>
      <c r="E19" s="189">
        <v>1</v>
      </c>
      <c r="F19" s="83">
        <f t="shared" ref="F19" si="0">D19*E19</f>
        <v>150</v>
      </c>
      <c r="G19" s="110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</row>
    <row r="20" spans="1:19" ht="15.75" thickBot="1" x14ac:dyDescent="0.3">
      <c r="A20" s="326" t="s">
        <v>33</v>
      </c>
      <c r="B20" s="327"/>
      <c r="C20" s="327"/>
      <c r="D20" s="327"/>
      <c r="E20" s="327"/>
      <c r="F20" s="83">
        <f>F19</f>
        <v>150</v>
      </c>
      <c r="G20" s="110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</row>
    <row r="21" spans="1:19" ht="18.75" x14ac:dyDescent="0.25">
      <c r="A21" s="328" t="s">
        <v>37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89"/>
      <c r="S21" s="89"/>
    </row>
    <row r="22" spans="1:19" ht="19.5" thickBot="1" x14ac:dyDescent="0.3">
      <c r="A22" s="251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62" t="s">
        <v>38</v>
      </c>
      <c r="R22" s="89"/>
      <c r="S22" s="89"/>
    </row>
    <row r="23" spans="1:19" ht="15" customHeight="1" x14ac:dyDescent="0.25">
      <c r="A23" s="319" t="s">
        <v>7</v>
      </c>
      <c r="B23" s="319" t="s">
        <v>39</v>
      </c>
      <c r="C23" s="337" t="s">
        <v>40</v>
      </c>
      <c r="D23" s="337" t="s">
        <v>41</v>
      </c>
      <c r="E23" s="337" t="s">
        <v>102</v>
      </c>
      <c r="F23" s="319" t="s">
        <v>43</v>
      </c>
      <c r="G23" s="319" t="s">
        <v>107</v>
      </c>
      <c r="H23" s="373" t="s">
        <v>108</v>
      </c>
      <c r="I23" s="315" t="s">
        <v>44</v>
      </c>
      <c r="J23" s="319" t="s">
        <v>45</v>
      </c>
      <c r="K23" s="319" t="s">
        <v>46</v>
      </c>
      <c r="L23" s="319" t="s">
        <v>294</v>
      </c>
      <c r="M23" s="319" t="s">
        <v>295</v>
      </c>
      <c r="N23" s="319" t="s">
        <v>296</v>
      </c>
      <c r="O23" s="373" t="s">
        <v>47</v>
      </c>
      <c r="P23" s="365" t="s">
        <v>48</v>
      </c>
    </row>
    <row r="24" spans="1:19" ht="15" customHeight="1" x14ac:dyDescent="0.25">
      <c r="A24" s="320"/>
      <c r="B24" s="320"/>
      <c r="C24" s="338"/>
      <c r="D24" s="338"/>
      <c r="E24" s="338"/>
      <c r="F24" s="320"/>
      <c r="G24" s="320"/>
      <c r="H24" s="374"/>
      <c r="I24" s="316"/>
      <c r="J24" s="320"/>
      <c r="K24" s="320"/>
      <c r="L24" s="320"/>
      <c r="M24" s="320"/>
      <c r="N24" s="320"/>
      <c r="O24" s="374"/>
      <c r="P24" s="366"/>
    </row>
    <row r="25" spans="1:19" x14ac:dyDescent="0.25">
      <c r="A25" s="320"/>
      <c r="B25" s="320"/>
      <c r="C25" s="338"/>
      <c r="D25" s="338"/>
      <c r="E25" s="338"/>
      <c r="F25" s="320"/>
      <c r="G25" s="320"/>
      <c r="H25" s="374"/>
      <c r="I25" s="316"/>
      <c r="J25" s="320"/>
      <c r="K25" s="320"/>
      <c r="L25" s="320"/>
      <c r="M25" s="320"/>
      <c r="N25" s="320"/>
      <c r="O25" s="374"/>
      <c r="P25" s="366"/>
    </row>
    <row r="26" spans="1:19" ht="43.5" customHeight="1" x14ac:dyDescent="0.25">
      <c r="A26" s="320"/>
      <c r="B26" s="320"/>
      <c r="C26" s="338"/>
      <c r="D26" s="338"/>
      <c r="E26" s="338"/>
      <c r="F26" s="320"/>
      <c r="G26" s="320"/>
      <c r="H26" s="374"/>
      <c r="I26" s="316"/>
      <c r="J26" s="320"/>
      <c r="K26" s="320"/>
      <c r="L26" s="320"/>
      <c r="M26" s="320"/>
      <c r="N26" s="320"/>
      <c r="O26" s="374"/>
      <c r="P26" s="366"/>
    </row>
    <row r="27" spans="1:19" x14ac:dyDescent="0.25">
      <c r="A27" s="320"/>
      <c r="B27" s="320"/>
      <c r="C27" s="338"/>
      <c r="D27" s="338"/>
      <c r="E27" s="338"/>
      <c r="F27" s="320"/>
      <c r="G27" s="320"/>
      <c r="H27" s="374"/>
      <c r="I27" s="316"/>
      <c r="J27" s="320"/>
      <c r="K27" s="320"/>
      <c r="L27" s="320"/>
      <c r="M27" s="320"/>
      <c r="N27" s="320"/>
      <c r="O27" s="374"/>
      <c r="P27" s="366"/>
    </row>
    <row r="28" spans="1:19" ht="15.75" thickBot="1" x14ac:dyDescent="0.3">
      <c r="A28" s="321"/>
      <c r="B28" s="321"/>
      <c r="C28" s="339"/>
      <c r="D28" s="339"/>
      <c r="E28" s="339"/>
      <c r="F28" s="321"/>
      <c r="G28" s="321"/>
      <c r="H28" s="375"/>
      <c r="I28" s="317"/>
      <c r="J28" s="321"/>
      <c r="K28" s="321"/>
      <c r="L28" s="321"/>
      <c r="M28" s="321"/>
      <c r="N28" s="321"/>
      <c r="O28" s="375"/>
      <c r="P28" s="367"/>
    </row>
    <row r="29" spans="1:19" x14ac:dyDescent="0.25">
      <c r="A29" s="111">
        <v>1</v>
      </c>
      <c r="B29" s="112">
        <v>2</v>
      </c>
      <c r="C29" s="113">
        <v>3</v>
      </c>
      <c r="D29" s="113">
        <v>4</v>
      </c>
      <c r="E29" s="113">
        <v>5</v>
      </c>
      <c r="F29" s="113">
        <v>6</v>
      </c>
      <c r="G29" s="113"/>
      <c r="H29" s="113"/>
      <c r="I29" s="114">
        <v>14</v>
      </c>
      <c r="J29" s="114">
        <v>15</v>
      </c>
      <c r="K29" s="114">
        <v>16</v>
      </c>
      <c r="L29" s="114"/>
      <c r="M29" s="114"/>
      <c r="N29" s="114"/>
      <c r="O29" s="113">
        <v>17</v>
      </c>
      <c r="P29" s="115">
        <v>18</v>
      </c>
    </row>
    <row r="30" spans="1:19" x14ac:dyDescent="0.25">
      <c r="A30" s="111">
        <v>1</v>
      </c>
      <c r="B30" s="116" t="s">
        <v>53</v>
      </c>
      <c r="C30" s="113" t="s">
        <v>106</v>
      </c>
      <c r="D30" s="113">
        <v>4.53</v>
      </c>
      <c r="E30" s="117">
        <v>17697</v>
      </c>
      <c r="F30" s="117">
        <f>D30*E30</f>
        <v>80167.41</v>
      </c>
      <c r="G30" s="117">
        <f>F30*1.63</f>
        <v>130672.8783</v>
      </c>
      <c r="H30" s="117">
        <f>F30+G30</f>
        <v>210840.28830000001</v>
      </c>
      <c r="I30" s="117">
        <f>H30</f>
        <v>210840.28830000001</v>
      </c>
      <c r="J30" s="117">
        <f t="shared" ref="J30" si="1">I30/163.33</f>
        <v>1290.8852525561747</v>
      </c>
      <c r="K30" s="117">
        <f t="shared" ref="K30" si="2">J30/60</f>
        <v>21.514754209269579</v>
      </c>
      <c r="L30" s="117">
        <f>K30*50%</f>
        <v>10.75737710463479</v>
      </c>
      <c r="M30" s="117">
        <f>K30*50%</f>
        <v>10.75737710463479</v>
      </c>
      <c r="N30" s="117">
        <f>K30+L30+M30</f>
        <v>43.029508418539159</v>
      </c>
      <c r="O30" s="117">
        <v>60</v>
      </c>
      <c r="P30" s="118">
        <f>N30*O30</f>
        <v>2581.7705051123494</v>
      </c>
    </row>
    <row r="31" spans="1:19" ht="15.75" thickBot="1" x14ac:dyDescent="0.3">
      <c r="A31" s="119"/>
      <c r="B31" s="120" t="s">
        <v>109</v>
      </c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3">
        <f>SUM(P30:P30)</f>
        <v>2581.7705051123494</v>
      </c>
    </row>
    <row r="32" spans="1:19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</row>
    <row r="33" spans="1:19" ht="19.5" thickBot="1" x14ac:dyDescent="0.3">
      <c r="A33" s="322" t="s">
        <v>16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89"/>
      <c r="S33" s="89"/>
    </row>
    <row r="34" spans="1:19" ht="64.5" thickBot="1" x14ac:dyDescent="0.3">
      <c r="A34" s="3" t="s">
        <v>7</v>
      </c>
      <c r="B34" s="4" t="s">
        <v>55</v>
      </c>
      <c r="C34" s="5" t="s">
        <v>56</v>
      </c>
      <c r="D34" s="6" t="s">
        <v>57</v>
      </c>
      <c r="E34" s="4" t="s">
        <v>58</v>
      </c>
      <c r="F34" s="7" t="s">
        <v>59</v>
      </c>
      <c r="G34" s="8" t="s">
        <v>60</v>
      </c>
      <c r="H34" s="4" t="s">
        <v>61</v>
      </c>
      <c r="I34" s="4" t="s">
        <v>62</v>
      </c>
      <c r="J34" s="9" t="s">
        <v>63</v>
      </c>
      <c r="K34" s="10" t="s">
        <v>64</v>
      </c>
      <c r="L34" s="11" t="s">
        <v>65</v>
      </c>
      <c r="M34" s="89"/>
      <c r="N34" s="89"/>
      <c r="O34" s="89"/>
      <c r="P34" s="89"/>
      <c r="Q34" s="89"/>
      <c r="R34" s="89"/>
      <c r="S34" s="89"/>
    </row>
    <row r="35" spans="1:19" x14ac:dyDescent="0.25">
      <c r="A35" s="124"/>
      <c r="B35" s="125"/>
      <c r="C35" s="91"/>
      <c r="D35" s="92"/>
      <c r="E35" s="93"/>
      <c r="F35" s="93"/>
      <c r="G35" s="136"/>
      <c r="H35" s="93"/>
      <c r="I35" s="93"/>
      <c r="J35" s="93"/>
      <c r="K35" s="93"/>
      <c r="L35" s="126"/>
      <c r="M35" s="89"/>
      <c r="N35" s="89"/>
      <c r="O35" s="89"/>
      <c r="P35" s="89"/>
      <c r="Q35" s="89"/>
      <c r="R35" s="89"/>
      <c r="S35" s="89"/>
    </row>
    <row r="36" spans="1:19" x14ac:dyDescent="0.25">
      <c r="A36" s="89"/>
      <c r="B36" s="89"/>
      <c r="C36" s="89"/>
      <c r="D36" s="89"/>
      <c r="E36" s="141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spans="1:19" ht="18.75" x14ac:dyDescent="0.3">
      <c r="A37" s="89"/>
      <c r="B37" s="130"/>
      <c r="C37" s="131"/>
      <c r="D37" s="132"/>
      <c r="E37" s="141"/>
      <c r="F37" s="89"/>
      <c r="G37" s="133"/>
      <c r="H37" s="134"/>
      <c r="I37" s="89"/>
      <c r="J37" s="127"/>
      <c r="K37" s="128"/>
      <c r="L37" s="89"/>
      <c r="M37" s="89"/>
      <c r="N37" s="89"/>
      <c r="O37" s="89"/>
      <c r="P37" s="89"/>
      <c r="Q37" s="89"/>
      <c r="R37" s="89"/>
      <c r="S37" s="89"/>
    </row>
    <row r="38" spans="1:19" ht="18.75" x14ac:dyDescent="0.3">
      <c r="A38" s="89"/>
      <c r="B38" s="143" t="s">
        <v>67</v>
      </c>
      <c r="C38" s="143" t="s">
        <v>68</v>
      </c>
      <c r="D38" s="144"/>
      <c r="E38" s="142" t="s">
        <v>343</v>
      </c>
      <c r="F38" s="135"/>
      <c r="G38" s="133"/>
      <c r="H38" s="134"/>
      <c r="I38" s="89"/>
      <c r="J38" s="127"/>
      <c r="K38" s="128"/>
      <c r="L38" s="89"/>
      <c r="M38" s="89"/>
      <c r="N38" s="89"/>
      <c r="O38" s="89"/>
      <c r="P38" s="89"/>
      <c r="Q38" s="89"/>
      <c r="R38" s="89"/>
      <c r="S38" s="89"/>
    </row>
    <row r="39" spans="1:19" ht="18.75" x14ac:dyDescent="0.3">
      <c r="A39" s="89"/>
      <c r="B39" s="145"/>
      <c r="C39" s="143"/>
      <c r="D39" s="144"/>
      <c r="E39" s="142"/>
      <c r="F39" s="135"/>
      <c r="G39" s="133"/>
      <c r="H39" s="134"/>
      <c r="I39" s="89"/>
      <c r="J39" s="127"/>
      <c r="K39" s="128"/>
      <c r="L39" s="89"/>
      <c r="M39" s="89"/>
      <c r="N39" s="89"/>
      <c r="O39" s="89"/>
      <c r="P39" s="89"/>
      <c r="Q39" s="89"/>
      <c r="R39" s="89"/>
      <c r="S39" s="89"/>
    </row>
    <row r="40" spans="1:19" ht="18.75" x14ac:dyDescent="0.3">
      <c r="A40" s="89"/>
      <c r="B40" s="145" t="s">
        <v>70</v>
      </c>
      <c r="C40" s="143" t="s">
        <v>68</v>
      </c>
      <c r="D40" s="144"/>
      <c r="E40" s="135" t="s">
        <v>342</v>
      </c>
      <c r="F40" s="144"/>
      <c r="G40" s="133"/>
      <c r="H40" s="134"/>
      <c r="I40" s="89"/>
      <c r="J40" s="127"/>
      <c r="K40" s="128"/>
      <c r="L40" s="89"/>
      <c r="M40" s="89"/>
      <c r="N40" s="89"/>
      <c r="O40" s="89"/>
      <c r="P40" s="89"/>
      <c r="Q40" s="89"/>
      <c r="R40" s="89"/>
      <c r="S40" s="89"/>
    </row>
    <row r="41" spans="1:19" ht="15.75" x14ac:dyDescent="0.25">
      <c r="A41" s="89"/>
      <c r="B41" s="145"/>
      <c r="C41" s="135"/>
      <c r="D41" s="135"/>
      <c r="E41" s="135"/>
      <c r="F41" s="135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</row>
  </sheetData>
  <mergeCells count="36">
    <mergeCell ref="I1:K1"/>
    <mergeCell ref="A6:Q6"/>
    <mergeCell ref="A7:Q7"/>
    <mergeCell ref="A8:Q8"/>
    <mergeCell ref="A10:A12"/>
    <mergeCell ref="B10:B12"/>
    <mergeCell ref="C10:H10"/>
    <mergeCell ref="I10:J10"/>
    <mergeCell ref="K10:K12"/>
    <mergeCell ref="L10:L12"/>
    <mergeCell ref="M10:M12"/>
    <mergeCell ref="D11:F11"/>
    <mergeCell ref="G11:G12"/>
    <mergeCell ref="H11:H12"/>
    <mergeCell ref="I11:I12"/>
    <mergeCell ref="J11:J12"/>
    <mergeCell ref="A16:Q16"/>
    <mergeCell ref="A20:E20"/>
    <mergeCell ref="A21:Q21"/>
    <mergeCell ref="A23:A28"/>
    <mergeCell ref="B23:B28"/>
    <mergeCell ref="C23:C28"/>
    <mergeCell ref="D23:D28"/>
    <mergeCell ref="E23:E28"/>
    <mergeCell ref="F23:F28"/>
    <mergeCell ref="G23:G28"/>
    <mergeCell ref="N23:N28"/>
    <mergeCell ref="M23:M28"/>
    <mergeCell ref="A33:Q33"/>
    <mergeCell ref="P23:P28"/>
    <mergeCell ref="H23:H28"/>
    <mergeCell ref="I23:I28"/>
    <mergeCell ref="J23:J28"/>
    <mergeCell ref="K23:K28"/>
    <mergeCell ref="O23:O28"/>
    <mergeCell ref="L23:L28"/>
  </mergeCells>
  <pageMargins left="0" right="0" top="0" bottom="0" header="0.31496062992125984" footer="0.31496062992125984"/>
  <pageSetup paperSize="9"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Normal="100" zoomScaleSheetLayoutView="100" workbookViewId="0">
      <selection activeCell="I56" sqref="I56"/>
    </sheetView>
  </sheetViews>
  <sheetFormatPr defaultRowHeight="15" x14ac:dyDescent="0.25"/>
  <cols>
    <col min="1" max="1" width="7.42578125" style="89" customWidth="1"/>
    <col min="2" max="2" width="28" style="89" customWidth="1"/>
    <col min="3" max="3" width="12.5703125" style="89" customWidth="1"/>
    <col min="4" max="4" width="12.7109375" style="89" customWidth="1"/>
    <col min="5" max="5" width="12.5703125" style="89" customWidth="1"/>
    <col min="6" max="6" width="11.140625" style="89" customWidth="1"/>
    <col min="7" max="7" width="11.85546875" style="89" customWidth="1"/>
    <col min="8" max="8" width="12.42578125" style="89" customWidth="1"/>
    <col min="9" max="9" width="11.85546875" style="89" customWidth="1"/>
    <col min="10" max="10" width="14.7109375" style="89" bestFit="1" customWidth="1"/>
    <col min="11" max="11" width="9.140625" style="89" customWidth="1"/>
    <col min="12" max="12" width="10.42578125" style="89" customWidth="1"/>
    <col min="13" max="13" width="13.85546875" style="89" customWidth="1"/>
    <col min="14" max="14" width="10.5703125" style="89" customWidth="1"/>
    <col min="15" max="16384" width="9.140625" style="89"/>
  </cols>
  <sheetData>
    <row r="1" spans="1:14" ht="18.75" customHeight="1" x14ac:dyDescent="0.3">
      <c r="A1" s="94"/>
      <c r="B1" s="95"/>
      <c r="C1" s="96"/>
      <c r="D1" s="96"/>
      <c r="E1" s="94"/>
      <c r="F1" s="94"/>
      <c r="G1" s="96"/>
      <c r="H1" s="392" t="s">
        <v>0</v>
      </c>
      <c r="I1" s="392"/>
      <c r="J1" s="392"/>
      <c r="K1" s="392"/>
      <c r="L1" s="392"/>
      <c r="M1" s="392"/>
      <c r="N1" s="392"/>
    </row>
    <row r="2" spans="1:14" ht="18.75" x14ac:dyDescent="0.3">
      <c r="A2" s="94"/>
      <c r="B2" s="95"/>
      <c r="C2" s="96"/>
      <c r="D2" s="96"/>
      <c r="E2" s="94"/>
      <c r="F2" s="94"/>
      <c r="G2" s="96"/>
      <c r="H2" s="392" t="s">
        <v>1</v>
      </c>
      <c r="I2" s="392"/>
      <c r="J2" s="392"/>
      <c r="K2" s="392"/>
      <c r="L2" s="392"/>
      <c r="M2" s="392"/>
      <c r="N2" s="392"/>
    </row>
    <row r="3" spans="1:14" ht="18.75" x14ac:dyDescent="0.3">
      <c r="A3" s="94"/>
      <c r="B3" s="95"/>
      <c r="C3" s="96"/>
      <c r="D3" s="96"/>
      <c r="E3" s="94"/>
      <c r="F3" s="94"/>
      <c r="G3" s="96"/>
      <c r="H3" s="392" t="s">
        <v>2</v>
      </c>
      <c r="I3" s="392"/>
      <c r="J3" s="392"/>
      <c r="K3" s="392"/>
      <c r="L3" s="392"/>
      <c r="M3" s="392"/>
      <c r="N3" s="392"/>
    </row>
    <row r="4" spans="1:14" ht="18.75" x14ac:dyDescent="0.3">
      <c r="A4" s="94"/>
      <c r="B4" s="95"/>
      <c r="C4" s="96"/>
      <c r="D4" s="96"/>
      <c r="E4" s="94"/>
      <c r="F4" s="94"/>
      <c r="G4" s="96"/>
      <c r="H4" s="392" t="s">
        <v>3</v>
      </c>
      <c r="I4" s="392"/>
      <c r="J4" s="392"/>
      <c r="K4" s="392"/>
      <c r="L4" s="392"/>
      <c r="M4" s="392"/>
      <c r="N4" s="392"/>
    </row>
    <row r="5" spans="1:14" ht="18.75" x14ac:dyDescent="0.3">
      <c r="A5" s="94"/>
      <c r="B5" s="95"/>
      <c r="C5" s="96"/>
      <c r="D5" s="96"/>
      <c r="E5" s="94"/>
      <c r="F5" s="94"/>
      <c r="G5" s="96"/>
      <c r="H5" s="392" t="s">
        <v>304</v>
      </c>
      <c r="I5" s="392"/>
      <c r="J5" s="392"/>
      <c r="K5" s="392"/>
      <c r="L5" s="392"/>
      <c r="M5" s="392"/>
      <c r="N5" s="392"/>
    </row>
    <row r="6" spans="1:14" ht="18.75" x14ac:dyDescent="0.3">
      <c r="A6" s="94"/>
      <c r="B6" s="95"/>
      <c r="C6" s="96"/>
      <c r="D6" s="96"/>
      <c r="E6" s="94"/>
      <c r="F6" s="94"/>
      <c r="G6" s="96"/>
      <c r="H6" s="94"/>
      <c r="I6" s="263"/>
      <c r="J6" s="263"/>
      <c r="K6" s="263"/>
      <c r="L6" s="90"/>
      <c r="M6" s="97"/>
      <c r="N6" s="97"/>
    </row>
    <row r="7" spans="1:14" ht="18.75" x14ac:dyDescent="0.3">
      <c r="A7" s="94"/>
      <c r="B7" s="95"/>
      <c r="C7" s="96"/>
      <c r="D7" s="96"/>
      <c r="E7" s="94"/>
      <c r="F7" s="94"/>
      <c r="G7" s="96"/>
      <c r="H7" s="94"/>
      <c r="I7" s="263"/>
      <c r="J7" s="263"/>
      <c r="K7" s="263"/>
      <c r="L7" s="90"/>
      <c r="M7" s="97"/>
      <c r="N7" s="97"/>
    </row>
    <row r="8" spans="1:14" ht="18.75" x14ac:dyDescent="0.3">
      <c r="A8" s="346" t="s">
        <v>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18.75" x14ac:dyDescent="0.25">
      <c r="A9" s="347" t="s">
        <v>72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</row>
    <row r="10" spans="1:14" ht="18.75" x14ac:dyDescent="0.3">
      <c r="A10" s="346" t="s">
        <v>305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ht="16.5" thickBot="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ht="16.5" customHeight="1" thickBot="1" x14ac:dyDescent="0.3">
      <c r="A12" s="348" t="s">
        <v>7</v>
      </c>
      <c r="B12" s="348" t="s">
        <v>8</v>
      </c>
      <c r="C12" s="351" t="s">
        <v>9</v>
      </c>
      <c r="D12" s="352"/>
      <c r="E12" s="352"/>
      <c r="F12" s="352"/>
      <c r="G12" s="353"/>
      <c r="H12" s="354"/>
      <c r="I12" s="264" t="s">
        <v>10</v>
      </c>
      <c r="J12" s="348" t="s">
        <v>11</v>
      </c>
      <c r="K12" s="355" t="s">
        <v>189</v>
      </c>
      <c r="L12" s="355" t="s">
        <v>13</v>
      </c>
    </row>
    <row r="13" spans="1:14" ht="48" thickBot="1" x14ac:dyDescent="0.3">
      <c r="A13" s="349"/>
      <c r="B13" s="349"/>
      <c r="C13" s="100" t="s">
        <v>14</v>
      </c>
      <c r="D13" s="360" t="s">
        <v>15</v>
      </c>
      <c r="E13" s="361"/>
      <c r="F13" s="362"/>
      <c r="G13" s="363" t="s">
        <v>16</v>
      </c>
      <c r="H13" s="348" t="s">
        <v>17</v>
      </c>
      <c r="I13" s="348" t="s">
        <v>19</v>
      </c>
      <c r="J13" s="349"/>
      <c r="K13" s="356"/>
      <c r="L13" s="356"/>
    </row>
    <row r="14" spans="1:14" ht="95.25" thickBot="1" x14ac:dyDescent="0.3">
      <c r="A14" s="350"/>
      <c r="B14" s="350"/>
      <c r="C14" s="101" t="s">
        <v>20</v>
      </c>
      <c r="D14" s="102" t="s">
        <v>21</v>
      </c>
      <c r="E14" s="103" t="s">
        <v>22</v>
      </c>
      <c r="F14" s="103" t="s">
        <v>23</v>
      </c>
      <c r="G14" s="364"/>
      <c r="H14" s="350"/>
      <c r="I14" s="350"/>
      <c r="J14" s="350"/>
      <c r="K14" s="357"/>
      <c r="L14" s="357"/>
    </row>
    <row r="15" spans="1:14" ht="15.75" x14ac:dyDescent="0.25">
      <c r="A15" s="23">
        <v>1</v>
      </c>
      <c r="B15" s="24">
        <v>2</v>
      </c>
      <c r="C15" s="25">
        <v>3</v>
      </c>
      <c r="D15" s="25">
        <v>4</v>
      </c>
      <c r="E15" s="26">
        <v>5</v>
      </c>
      <c r="F15" s="26">
        <v>6</v>
      </c>
      <c r="G15" s="25">
        <v>6</v>
      </c>
      <c r="H15" s="26">
        <v>7</v>
      </c>
      <c r="I15" s="26">
        <v>9</v>
      </c>
      <c r="J15" s="26">
        <v>10</v>
      </c>
      <c r="K15" s="27">
        <v>11</v>
      </c>
      <c r="L15" s="28">
        <v>12</v>
      </c>
    </row>
    <row r="16" spans="1:14" ht="47.25" x14ac:dyDescent="0.25">
      <c r="A16" s="216">
        <v>1</v>
      </c>
      <c r="B16" s="218" t="s">
        <v>301</v>
      </c>
      <c r="C16" s="73">
        <v>0</v>
      </c>
      <c r="D16" s="73">
        <f>$N$39</f>
        <v>65.963013120675924</v>
      </c>
      <c r="E16" s="73">
        <f>D16*11%</f>
        <v>7.2559314432743518</v>
      </c>
      <c r="F16" s="73"/>
      <c r="G16" s="73">
        <f>$L$42</f>
        <v>0</v>
      </c>
      <c r="H16" s="73">
        <f>C16+D16+E16+G16</f>
        <v>73.218944563950274</v>
      </c>
      <c r="I16" s="73">
        <f>F23+F24+F25</f>
        <v>24.171800000000001</v>
      </c>
      <c r="J16" s="73">
        <f>H16+I16</f>
        <v>97.390744563950278</v>
      </c>
      <c r="K16" s="75">
        <f>(J16*15%)</f>
        <v>14.608611684592541</v>
      </c>
      <c r="L16" s="217">
        <f>J16+K16</f>
        <v>111.99935624854282</v>
      </c>
      <c r="M16" s="90"/>
    </row>
    <row r="17" spans="1:18" ht="47.25" x14ac:dyDescent="0.25">
      <c r="A17" s="216">
        <v>2</v>
      </c>
      <c r="B17" s="218" t="s">
        <v>302</v>
      </c>
      <c r="C17" s="73">
        <v>0</v>
      </c>
      <c r="D17" s="73">
        <f>R39</f>
        <v>219.87671040225308</v>
      </c>
      <c r="E17" s="73">
        <f>D17*11%</f>
        <v>24.186438144247838</v>
      </c>
      <c r="F17" s="73"/>
      <c r="G17" s="73">
        <f>$L$42</f>
        <v>0</v>
      </c>
      <c r="H17" s="73">
        <f>C17+D17+E17+G17</f>
        <v>244.06314854650091</v>
      </c>
      <c r="I17" s="73">
        <f>F23+F24+F25</f>
        <v>24.171800000000001</v>
      </c>
      <c r="J17" s="73">
        <f>H17+I17</f>
        <v>268.2349485465009</v>
      </c>
      <c r="K17" s="75">
        <f>(J17*15%)</f>
        <v>40.235242281975133</v>
      </c>
      <c r="L17" s="217">
        <f>J17+K17</f>
        <v>308.47019082847601</v>
      </c>
      <c r="M17" s="90"/>
    </row>
    <row r="18" spans="1:18" ht="66" customHeight="1" x14ac:dyDescent="0.25">
      <c r="A18" s="216">
        <v>3</v>
      </c>
      <c r="B18" s="218" t="s">
        <v>303</v>
      </c>
      <c r="C18" s="73">
        <v>0</v>
      </c>
      <c r="D18" s="73">
        <f>P39</f>
        <v>659.6301312067593</v>
      </c>
      <c r="E18" s="73">
        <f t="shared" ref="E18" si="0">D18*11%</f>
        <v>72.55931443274352</v>
      </c>
      <c r="F18" s="73"/>
      <c r="G18" s="73">
        <f>$L$42</f>
        <v>0</v>
      </c>
      <c r="H18" s="73">
        <f t="shared" ref="H18" si="1">C18+D18+E18+G18</f>
        <v>732.18944563950276</v>
      </c>
      <c r="I18" s="73">
        <f>F27</f>
        <v>108.0318</v>
      </c>
      <c r="J18" s="73">
        <f>H18+I18</f>
        <v>840.22124563950274</v>
      </c>
      <c r="K18" s="75">
        <f t="shared" ref="K18" si="2">(J18*15%)</f>
        <v>126.0331868459254</v>
      </c>
      <c r="L18" s="217">
        <f>J18+K18</f>
        <v>966.2544324854282</v>
      </c>
      <c r="M18" s="90"/>
    </row>
    <row r="19" spans="1:18" x14ac:dyDescent="0.25">
      <c r="A19" s="107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90"/>
      <c r="M19" s="90"/>
      <c r="N19" s="90"/>
    </row>
    <row r="20" spans="1:18" ht="18.75" x14ac:dyDescent="0.25">
      <c r="A20" s="318" t="s">
        <v>26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</row>
    <row r="21" spans="1:18" ht="15.75" thickBot="1" x14ac:dyDescent="0.3">
      <c r="A21" s="38"/>
      <c r="B21" s="39"/>
      <c r="C21" s="40"/>
      <c r="D21" s="40"/>
      <c r="E21" s="41"/>
      <c r="F21" s="41"/>
      <c r="G21" s="40"/>
      <c r="H21" s="41"/>
      <c r="I21" s="42"/>
      <c r="J21" s="41"/>
      <c r="K21" s="41"/>
    </row>
    <row r="22" spans="1:18" ht="51.75" thickBot="1" x14ac:dyDescent="0.3">
      <c r="A22" s="43" t="s">
        <v>7</v>
      </c>
      <c r="B22" s="44" t="s">
        <v>27</v>
      </c>
      <c r="C22" s="44" t="s">
        <v>28</v>
      </c>
      <c r="D22" s="44" t="s">
        <v>29</v>
      </c>
      <c r="E22" s="45" t="s">
        <v>30</v>
      </c>
      <c r="F22" s="44" t="s">
        <v>31</v>
      </c>
    </row>
    <row r="23" spans="1:18" x14ac:dyDescent="0.25">
      <c r="A23" s="268">
        <v>1</v>
      </c>
      <c r="B23" s="209" t="s">
        <v>297</v>
      </c>
      <c r="C23" s="268">
        <v>1</v>
      </c>
      <c r="D23" s="268">
        <v>15.69</v>
      </c>
      <c r="E23" s="268">
        <v>1</v>
      </c>
      <c r="F23" s="268">
        <f>D23*E23</f>
        <v>15.69</v>
      </c>
    </row>
    <row r="24" spans="1:18" x14ac:dyDescent="0.25">
      <c r="A24" s="266">
        <v>2</v>
      </c>
      <c r="B24" s="210" t="s">
        <v>298</v>
      </c>
      <c r="C24" s="266">
        <v>1</v>
      </c>
      <c r="D24" s="266">
        <v>668.18</v>
      </c>
      <c r="E24" s="266">
        <v>0.01</v>
      </c>
      <c r="F24" s="266">
        <f>D24*E24</f>
        <v>6.6818</v>
      </c>
    </row>
    <row r="25" spans="1:18" x14ac:dyDescent="0.25">
      <c r="A25" s="266">
        <v>3</v>
      </c>
      <c r="B25" s="210" t="s">
        <v>299</v>
      </c>
      <c r="C25" s="266">
        <v>1</v>
      </c>
      <c r="D25" s="266">
        <v>180</v>
      </c>
      <c r="E25" s="266">
        <v>0.01</v>
      </c>
      <c r="F25" s="266">
        <f>D25*E25</f>
        <v>1.8</v>
      </c>
    </row>
    <row r="26" spans="1:18" x14ac:dyDescent="0.25">
      <c r="A26" s="266">
        <v>4</v>
      </c>
      <c r="B26" s="210" t="s">
        <v>300</v>
      </c>
      <c r="C26" s="266">
        <v>1</v>
      </c>
      <c r="D26" s="266">
        <v>83.86</v>
      </c>
      <c r="E26" s="266">
        <v>1</v>
      </c>
      <c r="F26" s="266">
        <f>D26*E26</f>
        <v>83.86</v>
      </c>
    </row>
    <row r="27" spans="1:18" x14ac:dyDescent="0.25">
      <c r="A27" s="394" t="s">
        <v>194</v>
      </c>
      <c r="B27" s="395"/>
      <c r="C27" s="395"/>
      <c r="D27" s="395"/>
      <c r="E27" s="396"/>
      <c r="F27" s="195">
        <f>SUM(F23:F26)</f>
        <v>108.0318</v>
      </c>
      <c r="G27" s="110"/>
    </row>
    <row r="28" spans="1:18" ht="18.75" x14ac:dyDescent="0.25">
      <c r="A28" s="328" t="s">
        <v>37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</row>
    <row r="29" spans="1:18" ht="19.5" thickBot="1" x14ac:dyDescent="0.3">
      <c r="A29" s="265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 t="s">
        <v>38</v>
      </c>
    </row>
    <row r="30" spans="1:18" ht="15.75" customHeight="1" thickBot="1" x14ac:dyDescent="0.3">
      <c r="A30" s="319" t="s">
        <v>7</v>
      </c>
      <c r="B30" s="319" t="s">
        <v>39</v>
      </c>
      <c r="C30" s="337" t="s">
        <v>40</v>
      </c>
      <c r="D30" s="337" t="s">
        <v>41</v>
      </c>
      <c r="E30" s="337" t="s">
        <v>102</v>
      </c>
      <c r="F30" s="319" t="s">
        <v>43</v>
      </c>
      <c r="G30" s="340" t="s">
        <v>188</v>
      </c>
      <c r="H30" s="341"/>
      <c r="I30" s="342"/>
      <c r="J30" s="315" t="s">
        <v>44</v>
      </c>
      <c r="K30" s="319" t="s">
        <v>45</v>
      </c>
      <c r="L30" s="319" t="s">
        <v>46</v>
      </c>
      <c r="M30" s="319" t="s">
        <v>47</v>
      </c>
      <c r="N30" s="319" t="s">
        <v>48</v>
      </c>
      <c r="O30" s="319" t="s">
        <v>48</v>
      </c>
      <c r="P30" s="319" t="s">
        <v>48</v>
      </c>
      <c r="Q30" s="319" t="s">
        <v>48</v>
      </c>
      <c r="R30" s="319" t="s">
        <v>48</v>
      </c>
    </row>
    <row r="31" spans="1:18" ht="15" customHeight="1" x14ac:dyDescent="0.25">
      <c r="A31" s="320"/>
      <c r="B31" s="320"/>
      <c r="C31" s="338"/>
      <c r="D31" s="338"/>
      <c r="E31" s="338"/>
      <c r="F31" s="320"/>
      <c r="G31" s="315" t="s">
        <v>49</v>
      </c>
      <c r="H31" s="315" t="s">
        <v>50</v>
      </c>
      <c r="I31" s="332" t="s">
        <v>187</v>
      </c>
      <c r="J31" s="316"/>
      <c r="K31" s="320"/>
      <c r="L31" s="320"/>
      <c r="M31" s="320"/>
      <c r="N31" s="320"/>
      <c r="O31" s="320"/>
      <c r="P31" s="320"/>
      <c r="Q31" s="320"/>
      <c r="R31" s="320"/>
    </row>
    <row r="32" spans="1:18" x14ac:dyDescent="0.25">
      <c r="A32" s="320"/>
      <c r="B32" s="320"/>
      <c r="C32" s="338"/>
      <c r="D32" s="338"/>
      <c r="E32" s="338"/>
      <c r="F32" s="320"/>
      <c r="G32" s="316"/>
      <c r="H32" s="316"/>
      <c r="I32" s="320"/>
      <c r="J32" s="316"/>
      <c r="K32" s="320"/>
      <c r="L32" s="320"/>
      <c r="M32" s="320"/>
      <c r="N32" s="320"/>
      <c r="O32" s="320"/>
      <c r="P32" s="320"/>
      <c r="Q32" s="320"/>
      <c r="R32" s="320"/>
    </row>
    <row r="33" spans="1:18" ht="15.75" thickBot="1" x14ac:dyDescent="0.3">
      <c r="A33" s="320"/>
      <c r="B33" s="320"/>
      <c r="C33" s="338"/>
      <c r="D33" s="338"/>
      <c r="E33" s="338"/>
      <c r="F33" s="320"/>
      <c r="G33" s="317"/>
      <c r="H33" s="317"/>
      <c r="I33" s="321"/>
      <c r="J33" s="316"/>
      <c r="K33" s="320"/>
      <c r="L33" s="320"/>
      <c r="M33" s="320"/>
      <c r="N33" s="320"/>
      <c r="O33" s="320"/>
      <c r="P33" s="320"/>
      <c r="Q33" s="320"/>
      <c r="R33" s="320"/>
    </row>
    <row r="34" spans="1:18" x14ac:dyDescent="0.25">
      <c r="A34" s="320"/>
      <c r="B34" s="320"/>
      <c r="C34" s="338"/>
      <c r="D34" s="338"/>
      <c r="E34" s="338"/>
      <c r="F34" s="320"/>
      <c r="G34" s="343" t="s">
        <v>19</v>
      </c>
      <c r="H34" s="333" t="s">
        <v>19</v>
      </c>
      <c r="I34" s="335" t="s">
        <v>19</v>
      </c>
      <c r="J34" s="316"/>
      <c r="K34" s="320"/>
      <c r="L34" s="320"/>
      <c r="M34" s="320"/>
      <c r="N34" s="320"/>
      <c r="O34" s="320"/>
      <c r="P34" s="320"/>
      <c r="Q34" s="320"/>
      <c r="R34" s="320"/>
    </row>
    <row r="35" spans="1:18" ht="23.25" customHeight="1" thickBot="1" x14ac:dyDescent="0.3">
      <c r="A35" s="321"/>
      <c r="B35" s="321"/>
      <c r="C35" s="339"/>
      <c r="D35" s="339"/>
      <c r="E35" s="339"/>
      <c r="F35" s="321"/>
      <c r="G35" s="344"/>
      <c r="H35" s="334"/>
      <c r="I35" s="336"/>
      <c r="J35" s="317"/>
      <c r="K35" s="321"/>
      <c r="L35" s="321"/>
      <c r="M35" s="321"/>
      <c r="N35" s="321"/>
      <c r="O35" s="321"/>
      <c r="P35" s="321"/>
      <c r="Q35" s="321"/>
      <c r="R35" s="321"/>
    </row>
    <row r="36" spans="1:18" ht="13.5" customHeight="1" x14ac:dyDescent="0.25">
      <c r="A36" s="111">
        <v>1</v>
      </c>
      <c r="B36" s="112">
        <v>2</v>
      </c>
      <c r="C36" s="113">
        <v>3</v>
      </c>
      <c r="D36" s="113">
        <v>4</v>
      </c>
      <c r="E36" s="113">
        <v>5</v>
      </c>
      <c r="F36" s="113">
        <v>6</v>
      </c>
      <c r="G36" s="113">
        <v>9</v>
      </c>
      <c r="H36" s="113">
        <v>11</v>
      </c>
      <c r="I36" s="51">
        <v>13</v>
      </c>
      <c r="J36" s="114">
        <v>14</v>
      </c>
      <c r="K36" s="114">
        <v>15</v>
      </c>
      <c r="L36" s="114">
        <v>16</v>
      </c>
      <c r="M36" s="113">
        <v>17</v>
      </c>
      <c r="N36" s="115">
        <v>18</v>
      </c>
      <c r="O36" s="115">
        <v>18</v>
      </c>
      <c r="P36" s="115">
        <v>18</v>
      </c>
      <c r="Q36" s="115">
        <v>18</v>
      </c>
      <c r="R36" s="115">
        <v>18</v>
      </c>
    </row>
    <row r="37" spans="1:18" s="226" customFormat="1" x14ac:dyDescent="0.25">
      <c r="A37" s="229">
        <v>1</v>
      </c>
      <c r="B37" s="230" t="s">
        <v>53</v>
      </c>
      <c r="C37" s="229" t="s">
        <v>106</v>
      </c>
      <c r="D37" s="229">
        <v>4.46</v>
      </c>
      <c r="E37" s="117">
        <v>17697</v>
      </c>
      <c r="F37" s="117">
        <f>D37*E37*1.63</f>
        <v>128653.65059999998</v>
      </c>
      <c r="G37" s="231"/>
      <c r="H37" s="117">
        <f>E37*100%</f>
        <v>17697</v>
      </c>
      <c r="I37" s="117">
        <f>F37*10%</f>
        <v>12865.365059999998</v>
      </c>
      <c r="J37" s="117">
        <f>F37+G37+H37+I37</f>
        <v>159216.01566</v>
      </c>
      <c r="K37" s="117">
        <f>J37/163.33</f>
        <v>974.81182673115768</v>
      </c>
      <c r="L37" s="117">
        <f>K37/60</f>
        <v>16.246863778852628</v>
      </c>
      <c r="M37" s="117">
        <v>3</v>
      </c>
      <c r="N37" s="219">
        <f>L37*M37</f>
        <v>48.740591336557884</v>
      </c>
      <c r="O37" s="219">
        <v>30</v>
      </c>
      <c r="P37" s="219">
        <f>L37*O37</f>
        <v>487.40591336557884</v>
      </c>
      <c r="Q37" s="219">
        <v>10</v>
      </c>
      <c r="R37" s="219">
        <f>L37*Q37</f>
        <v>162.46863778852628</v>
      </c>
    </row>
    <row r="38" spans="1:18" ht="15.75" thickBot="1" x14ac:dyDescent="0.3">
      <c r="A38" s="234">
        <v>2</v>
      </c>
      <c r="B38" s="235" t="s">
        <v>186</v>
      </c>
      <c r="C38" s="234" t="s">
        <v>103</v>
      </c>
      <c r="D38" s="234">
        <v>2.89</v>
      </c>
      <c r="E38" s="236">
        <v>17697</v>
      </c>
      <c r="F38" s="236">
        <f t="shared" ref="F38" si="3">D38*E38</f>
        <v>51144.33</v>
      </c>
      <c r="G38" s="237"/>
      <c r="H38" s="236"/>
      <c r="I38" s="236">
        <f t="shared" ref="I38" si="4">F38*10%</f>
        <v>5114.4330000000009</v>
      </c>
      <c r="J38" s="236">
        <f t="shared" ref="J38" si="5">F38+G38+H38+I38</f>
        <v>56258.763000000006</v>
      </c>
      <c r="K38" s="236">
        <f t="shared" ref="K38" si="6">J38/163.33</f>
        <v>344.44843568236087</v>
      </c>
      <c r="L38" s="236">
        <f t="shared" ref="L38" si="7">K38/60</f>
        <v>5.740807261372681</v>
      </c>
      <c r="M38" s="236">
        <v>3</v>
      </c>
      <c r="N38" s="238">
        <f t="shared" ref="N38" si="8">L38*M38</f>
        <v>17.222421784118044</v>
      </c>
      <c r="O38" s="238">
        <v>30</v>
      </c>
      <c r="P38" s="238">
        <f>L38*O38</f>
        <v>172.22421784118043</v>
      </c>
      <c r="Q38" s="238">
        <v>10</v>
      </c>
      <c r="R38" s="219">
        <f>L38*Q38</f>
        <v>57.408072613726809</v>
      </c>
    </row>
    <row r="39" spans="1:18" ht="15.75" thickBot="1" x14ac:dyDescent="0.3">
      <c r="A39" s="329" t="s">
        <v>194</v>
      </c>
      <c r="B39" s="330"/>
      <c r="C39" s="330"/>
      <c r="D39" s="330"/>
      <c r="E39" s="331"/>
      <c r="F39" s="239"/>
      <c r="G39" s="239"/>
      <c r="H39" s="239"/>
      <c r="I39" s="239"/>
      <c r="J39" s="239"/>
      <c r="K39" s="239"/>
      <c r="L39" s="239"/>
      <c r="M39" s="239"/>
      <c r="N39" s="269">
        <f>SUM(N37:N38)</f>
        <v>65.963013120675924</v>
      </c>
      <c r="O39" s="270"/>
      <c r="P39" s="271">
        <f>SUM(P37:P38)</f>
        <v>659.6301312067593</v>
      </c>
      <c r="Q39" s="270"/>
      <c r="R39" s="271">
        <f>SUM(R37:R38)</f>
        <v>219.87671040225308</v>
      </c>
    </row>
    <row r="40" spans="1:18" ht="19.5" thickBot="1" x14ac:dyDescent="0.3">
      <c r="A40" s="322" t="s">
        <v>16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</row>
    <row r="41" spans="1:18" ht="77.25" thickBot="1" x14ac:dyDescent="0.3">
      <c r="A41" s="3" t="s">
        <v>7</v>
      </c>
      <c r="B41" s="4" t="s">
        <v>55</v>
      </c>
      <c r="C41" s="5" t="s">
        <v>56</v>
      </c>
      <c r="D41" s="6" t="s">
        <v>57</v>
      </c>
      <c r="E41" s="4" t="s">
        <v>58</v>
      </c>
      <c r="F41" s="7" t="s">
        <v>59</v>
      </c>
      <c r="G41" s="8" t="s">
        <v>60</v>
      </c>
      <c r="H41" s="4" t="s">
        <v>61</v>
      </c>
      <c r="I41" s="4" t="s">
        <v>62</v>
      </c>
      <c r="J41" s="9" t="s">
        <v>63</v>
      </c>
      <c r="K41" s="10" t="s">
        <v>64</v>
      </c>
      <c r="L41" s="11" t="s">
        <v>65</v>
      </c>
    </row>
    <row r="42" spans="1:18" x14ac:dyDescent="0.25">
      <c r="A42" s="124"/>
      <c r="B42" s="243"/>
      <c r="C42" s="91"/>
      <c r="D42" s="92"/>
      <c r="E42" s="93"/>
      <c r="F42" s="93"/>
      <c r="G42" s="136"/>
      <c r="H42" s="93"/>
      <c r="I42" s="93"/>
      <c r="J42" s="93"/>
      <c r="K42" s="93"/>
      <c r="L42" s="126"/>
    </row>
    <row r="43" spans="1:18" x14ac:dyDescent="0.25">
      <c r="E43" s="141"/>
    </row>
    <row r="44" spans="1:18" ht="18.75" x14ac:dyDescent="0.3">
      <c r="B44" s="130"/>
      <c r="C44" s="131"/>
      <c r="D44" s="132"/>
      <c r="E44" s="141"/>
      <c r="G44" s="133"/>
      <c r="H44" s="134"/>
      <c r="J44" s="127"/>
      <c r="K44" s="128"/>
    </row>
    <row r="45" spans="1:18" ht="18.75" x14ac:dyDescent="0.3">
      <c r="B45" s="143" t="s">
        <v>67</v>
      </c>
      <c r="C45" s="143" t="s">
        <v>68</v>
      </c>
      <c r="D45" s="144"/>
      <c r="E45" s="142" t="s">
        <v>69</v>
      </c>
      <c r="F45" s="135"/>
      <c r="G45" s="133"/>
      <c r="H45" s="134"/>
      <c r="J45" s="127"/>
      <c r="K45" s="128"/>
    </row>
    <row r="46" spans="1:18" ht="18.75" x14ac:dyDescent="0.3">
      <c r="B46" s="145"/>
      <c r="C46" s="143"/>
      <c r="D46" s="144"/>
      <c r="E46" s="142"/>
      <c r="F46" s="135"/>
      <c r="G46" s="133"/>
      <c r="H46" s="134"/>
      <c r="J46" s="127"/>
      <c r="K46" s="128"/>
    </row>
    <row r="47" spans="1:18" ht="18.75" x14ac:dyDescent="0.3">
      <c r="B47" s="145" t="s">
        <v>70</v>
      </c>
      <c r="C47" s="143" t="s">
        <v>68</v>
      </c>
      <c r="D47" s="144"/>
      <c r="E47" s="135" t="s">
        <v>71</v>
      </c>
      <c r="F47" s="144"/>
      <c r="G47" s="133"/>
      <c r="H47" s="134"/>
      <c r="J47" s="127"/>
      <c r="K47" s="128"/>
    </row>
    <row r="48" spans="1:18" ht="15.75" x14ac:dyDescent="0.25">
      <c r="B48" s="145"/>
      <c r="C48" s="135"/>
      <c r="D48" s="135"/>
      <c r="E48" s="135"/>
      <c r="F48" s="135"/>
    </row>
    <row r="49" spans="2:6" ht="15.75" x14ac:dyDescent="0.25">
      <c r="B49" s="135"/>
      <c r="C49" s="143"/>
      <c r="D49" s="135"/>
      <c r="E49" s="135"/>
      <c r="F49" s="135"/>
    </row>
    <row r="50" spans="2:6" ht="15.75" x14ac:dyDescent="0.25">
      <c r="B50" s="135"/>
      <c r="C50" s="129"/>
      <c r="D50" s="129"/>
      <c r="E50" s="129"/>
    </row>
  </sheetData>
  <mergeCells count="45">
    <mergeCell ref="P30:P35"/>
    <mergeCell ref="Q30:Q35"/>
    <mergeCell ref="R30:R35"/>
    <mergeCell ref="H34:H35"/>
    <mergeCell ref="I34:I35"/>
    <mergeCell ref="A39:E39"/>
    <mergeCell ref="A40:N40"/>
    <mergeCell ref="A27:E27"/>
    <mergeCell ref="O30:O35"/>
    <mergeCell ref="G30:I30"/>
    <mergeCell ref="J30:J35"/>
    <mergeCell ref="K30:K35"/>
    <mergeCell ref="L30:L35"/>
    <mergeCell ref="M30:M35"/>
    <mergeCell ref="N30:N35"/>
    <mergeCell ref="G31:G33"/>
    <mergeCell ref="H31:H33"/>
    <mergeCell ref="I31:I33"/>
    <mergeCell ref="G34:G35"/>
    <mergeCell ref="A30:A35"/>
    <mergeCell ref="B30:B35"/>
    <mergeCell ref="C30:C35"/>
    <mergeCell ref="D30:D35"/>
    <mergeCell ref="E30:E35"/>
    <mergeCell ref="F30:F35"/>
    <mergeCell ref="G13:G14"/>
    <mergeCell ref="H13:H14"/>
    <mergeCell ref="I13:I14"/>
    <mergeCell ref="A20:N20"/>
    <mergeCell ref="A28:N28"/>
    <mergeCell ref="A9:N9"/>
    <mergeCell ref="A10:N10"/>
    <mergeCell ref="A12:A14"/>
    <mergeCell ref="B12:B14"/>
    <mergeCell ref="C12:H12"/>
    <mergeCell ref="J12:J14"/>
    <mergeCell ref="K12:K14"/>
    <mergeCell ref="L12:L14"/>
    <mergeCell ref="D13:F13"/>
    <mergeCell ref="A8:N8"/>
    <mergeCell ref="H1:N1"/>
    <mergeCell ref="H2:N2"/>
    <mergeCell ref="H3:N3"/>
    <mergeCell ref="H4:N4"/>
    <mergeCell ref="H5:N5"/>
  </mergeCells>
  <pageMargins left="0" right="0" top="0" bottom="0" header="0.31496062992125984" footer="0.31496062992125984"/>
  <pageSetup paperSize="9"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zoomScaleNormal="100" workbookViewId="0">
      <selection sqref="A1:O45"/>
    </sheetView>
  </sheetViews>
  <sheetFormatPr defaultRowHeight="15" x14ac:dyDescent="0.25"/>
  <cols>
    <col min="1" max="1" width="9.140625" style="89"/>
    <col min="2" max="2" width="32.5703125" style="89" customWidth="1"/>
    <col min="3" max="3" width="14.140625" style="89" customWidth="1"/>
    <col min="4" max="4" width="14.5703125" style="89" customWidth="1"/>
    <col min="5" max="5" width="11" style="89" customWidth="1"/>
    <col min="6" max="6" width="12.140625" style="89" customWidth="1"/>
    <col min="7" max="7" width="11" style="89" customWidth="1"/>
    <col min="8" max="8" width="10.28515625" style="89" customWidth="1"/>
    <col min="9" max="9" width="8" style="89" customWidth="1"/>
    <col min="10" max="10" width="8.140625" style="89" customWidth="1"/>
    <col min="11" max="11" width="9.140625" style="89" customWidth="1"/>
    <col min="12" max="12" width="10.42578125" style="89" customWidth="1"/>
    <col min="13" max="13" width="9.85546875" style="89" customWidth="1"/>
    <col min="14" max="16384" width="9.140625" style="89"/>
  </cols>
  <sheetData>
    <row r="1" spans="1:13" ht="18.75" x14ac:dyDescent="0.3">
      <c r="A1" s="94"/>
      <c r="B1" s="95"/>
      <c r="C1" s="96"/>
      <c r="D1" s="96"/>
      <c r="E1" s="94"/>
      <c r="F1" s="94"/>
      <c r="G1" s="96"/>
      <c r="I1" s="97"/>
      <c r="J1" s="97" t="s">
        <v>0</v>
      </c>
      <c r="K1" s="97"/>
      <c r="L1" s="97"/>
      <c r="M1" s="97"/>
    </row>
    <row r="2" spans="1:13" ht="18.75" x14ac:dyDescent="0.3">
      <c r="A2" s="94"/>
      <c r="B2" s="95"/>
      <c r="C2" s="96"/>
      <c r="D2" s="96"/>
      <c r="E2" s="94"/>
      <c r="F2" s="94"/>
      <c r="G2" s="96"/>
      <c r="I2" s="97"/>
      <c r="J2" s="97"/>
      <c r="K2" s="97"/>
      <c r="L2" s="97"/>
      <c r="M2" s="267" t="s">
        <v>307</v>
      </c>
    </row>
    <row r="3" spans="1:13" ht="18.75" x14ac:dyDescent="0.3">
      <c r="A3" s="94"/>
      <c r="B3" s="95"/>
      <c r="C3" s="96"/>
      <c r="D3" s="96"/>
      <c r="E3" s="94"/>
      <c r="F3" s="94"/>
      <c r="G3" s="96"/>
      <c r="I3" s="97"/>
      <c r="J3" s="97"/>
      <c r="K3" s="97"/>
      <c r="L3" s="97"/>
      <c r="M3" s="267" t="s">
        <v>2</v>
      </c>
    </row>
    <row r="4" spans="1:13" ht="18.75" x14ac:dyDescent="0.3">
      <c r="A4" s="94"/>
      <c r="B4" s="95"/>
      <c r="C4" s="96"/>
      <c r="D4" s="96"/>
      <c r="E4" s="94"/>
      <c r="F4" s="94"/>
      <c r="G4" s="96"/>
      <c r="I4" s="97"/>
      <c r="J4" s="97"/>
      <c r="K4" s="97"/>
      <c r="L4" s="97"/>
      <c r="M4" s="267" t="s">
        <v>3</v>
      </c>
    </row>
    <row r="5" spans="1:13" ht="18.75" x14ac:dyDescent="0.3">
      <c r="A5" s="94"/>
      <c r="B5" s="95"/>
      <c r="C5" s="96"/>
      <c r="D5" s="96"/>
      <c r="E5" s="94"/>
      <c r="F5" s="94"/>
      <c r="G5" s="96"/>
      <c r="I5" s="97"/>
      <c r="J5" s="97"/>
      <c r="K5" s="97"/>
      <c r="L5" s="97"/>
      <c r="M5" s="267" t="s">
        <v>317</v>
      </c>
    </row>
    <row r="6" spans="1:13" ht="18.75" x14ac:dyDescent="0.3">
      <c r="A6" s="346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</row>
    <row r="7" spans="1:13" ht="18.75" x14ac:dyDescent="0.25">
      <c r="A7" s="347" t="s">
        <v>308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</row>
    <row r="8" spans="1:13" ht="18.75" x14ac:dyDescent="0.3">
      <c r="A8" s="346" t="s">
        <v>309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</row>
    <row r="9" spans="1:13" ht="16.5" thickBot="1" x14ac:dyDescent="0.3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166" t="s">
        <v>79</v>
      </c>
    </row>
    <row r="10" spans="1:13" ht="35.25" customHeight="1" thickBot="1" x14ac:dyDescent="0.3">
      <c r="A10" s="348" t="s">
        <v>7</v>
      </c>
      <c r="B10" s="348" t="s">
        <v>8</v>
      </c>
      <c r="C10" s="351" t="s">
        <v>9</v>
      </c>
      <c r="D10" s="352"/>
      <c r="E10" s="352"/>
      <c r="F10" s="352"/>
      <c r="G10" s="353"/>
      <c r="H10" s="354"/>
      <c r="I10" s="351" t="s">
        <v>10</v>
      </c>
      <c r="J10" s="354"/>
      <c r="K10" s="348" t="s">
        <v>11</v>
      </c>
      <c r="L10" s="355" t="s">
        <v>12</v>
      </c>
      <c r="M10" s="355" t="s">
        <v>13</v>
      </c>
    </row>
    <row r="11" spans="1:13" ht="48" thickBot="1" x14ac:dyDescent="0.3">
      <c r="A11" s="349"/>
      <c r="B11" s="349"/>
      <c r="C11" s="100" t="s">
        <v>14</v>
      </c>
      <c r="D11" s="360" t="s">
        <v>15</v>
      </c>
      <c r="E11" s="361"/>
      <c r="F11" s="362"/>
      <c r="G11" s="363" t="s">
        <v>16</v>
      </c>
      <c r="H11" s="348" t="s">
        <v>17</v>
      </c>
      <c r="I11" s="348" t="s">
        <v>18</v>
      </c>
      <c r="J11" s="348" t="s">
        <v>19</v>
      </c>
      <c r="K11" s="349"/>
      <c r="L11" s="356"/>
      <c r="M11" s="358"/>
    </row>
    <row r="12" spans="1:13" ht="95.25" thickBot="1" x14ac:dyDescent="0.3">
      <c r="A12" s="350"/>
      <c r="B12" s="350"/>
      <c r="C12" s="101" t="s">
        <v>20</v>
      </c>
      <c r="D12" s="102" t="s">
        <v>21</v>
      </c>
      <c r="E12" s="103" t="s">
        <v>22</v>
      </c>
      <c r="F12" s="103" t="s">
        <v>23</v>
      </c>
      <c r="G12" s="364"/>
      <c r="H12" s="350"/>
      <c r="I12" s="350"/>
      <c r="J12" s="350"/>
      <c r="K12" s="350"/>
      <c r="L12" s="357"/>
      <c r="M12" s="359"/>
    </row>
    <row r="13" spans="1:13" ht="16.5" thickBot="1" x14ac:dyDescent="0.3">
      <c r="A13" s="87">
        <v>1</v>
      </c>
      <c r="B13" s="88">
        <v>2</v>
      </c>
      <c r="C13" s="148">
        <v>3</v>
      </c>
      <c r="D13" s="148">
        <v>4</v>
      </c>
      <c r="E13" s="149">
        <v>5</v>
      </c>
      <c r="F13" s="149">
        <v>6</v>
      </c>
      <c r="G13" s="148">
        <v>6</v>
      </c>
      <c r="H13" s="149">
        <v>7</v>
      </c>
      <c r="I13" s="149">
        <v>8</v>
      </c>
      <c r="J13" s="149">
        <v>9</v>
      </c>
      <c r="K13" s="149">
        <v>10</v>
      </c>
      <c r="L13" s="150">
        <v>11</v>
      </c>
      <c r="M13" s="151">
        <v>12</v>
      </c>
    </row>
    <row r="14" spans="1:13" ht="31.5" x14ac:dyDescent="0.25">
      <c r="A14" s="159">
        <v>1</v>
      </c>
      <c r="B14" s="161" t="s">
        <v>280</v>
      </c>
      <c r="C14" s="152">
        <f>F18</f>
        <v>728</v>
      </c>
      <c r="D14" s="152">
        <f>O36</f>
        <v>5841.5957196779527</v>
      </c>
      <c r="E14" s="152">
        <f>D14*11%</f>
        <v>642.57552916457485</v>
      </c>
      <c r="F14" s="152"/>
      <c r="G14" s="152">
        <f>L39</f>
        <v>0</v>
      </c>
      <c r="H14" s="152">
        <f>C14+D14+E14+G14</f>
        <v>7212.1712488425273</v>
      </c>
      <c r="I14" s="153">
        <f>Смета!E21</f>
        <v>0.10000021516836566</v>
      </c>
      <c r="J14" s="152">
        <f>D14*I14</f>
        <v>584.16082889439906</v>
      </c>
      <c r="K14" s="152">
        <f>H14+J14</f>
        <v>7796.3320777369263</v>
      </c>
      <c r="L14" s="154">
        <f>(K14*30%)</f>
        <v>2338.8996233210778</v>
      </c>
      <c r="M14" s="163">
        <f>K14+L14</f>
        <v>10135.231701058005</v>
      </c>
    </row>
    <row r="15" spans="1:13" x14ac:dyDescent="0.25">
      <c r="A15" s="107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90"/>
      <c r="M15" s="90"/>
    </row>
    <row r="16" spans="1:13" ht="19.5" thickBot="1" x14ac:dyDescent="0.3">
      <c r="A16" s="369" t="s">
        <v>281</v>
      </c>
      <c r="B16" s="369"/>
      <c r="C16" s="369"/>
      <c r="D16" s="369"/>
      <c r="E16" s="369"/>
      <c r="F16" s="369"/>
      <c r="G16" s="167"/>
      <c r="H16" s="167"/>
      <c r="I16" s="167"/>
      <c r="J16" s="167"/>
      <c r="K16" s="167"/>
      <c r="L16" s="167"/>
      <c r="M16" s="167"/>
    </row>
    <row r="17" spans="1:15" ht="51" x14ac:dyDescent="0.25">
      <c r="A17" s="155" t="s">
        <v>7</v>
      </c>
      <c r="B17" s="156" t="s">
        <v>27</v>
      </c>
      <c r="C17" s="156" t="s">
        <v>94</v>
      </c>
      <c r="D17" s="156" t="s">
        <v>29</v>
      </c>
      <c r="E17" s="157" t="s">
        <v>95</v>
      </c>
      <c r="F17" s="156" t="s">
        <v>31</v>
      </c>
    </row>
    <row r="18" spans="1:15" ht="25.5" x14ac:dyDescent="0.25">
      <c r="A18" s="137">
        <v>1</v>
      </c>
      <c r="B18" s="137" t="s">
        <v>96</v>
      </c>
      <c r="C18" s="138">
        <v>5</v>
      </c>
      <c r="D18" s="139">
        <v>72800</v>
      </c>
      <c r="E18" s="140">
        <v>1</v>
      </c>
      <c r="F18" s="139">
        <f>(D18/100)*E18</f>
        <v>728</v>
      </c>
      <c r="G18" s="110"/>
    </row>
    <row r="19" spans="1:15" x14ac:dyDescent="0.25">
      <c r="A19" s="246"/>
      <c r="B19" s="246"/>
      <c r="C19" s="206"/>
      <c r="D19" s="247"/>
      <c r="E19" s="248"/>
      <c r="F19" s="247"/>
      <c r="G19" s="110"/>
    </row>
    <row r="20" spans="1:15" ht="19.5" thickBot="1" x14ac:dyDescent="0.3">
      <c r="A20" s="368" t="s">
        <v>37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</row>
    <row r="21" spans="1:15" ht="15" customHeight="1" x14ac:dyDescent="0.25">
      <c r="A21" s="319" t="s">
        <v>7</v>
      </c>
      <c r="B21" s="319" t="s">
        <v>39</v>
      </c>
      <c r="C21" s="337" t="s">
        <v>40</v>
      </c>
      <c r="D21" s="337" t="s">
        <v>41</v>
      </c>
      <c r="E21" s="337" t="s">
        <v>42</v>
      </c>
      <c r="F21" s="319" t="s">
        <v>43</v>
      </c>
      <c r="G21" s="373" t="s">
        <v>306</v>
      </c>
      <c r="H21" s="397">
        <v>0.1</v>
      </c>
      <c r="I21" s="373" t="s">
        <v>50</v>
      </c>
      <c r="J21" s="315"/>
      <c r="K21" s="315" t="s">
        <v>44</v>
      </c>
      <c r="L21" s="319" t="s">
        <v>45</v>
      </c>
      <c r="M21" s="319" t="s">
        <v>46</v>
      </c>
      <c r="N21" s="373" t="s">
        <v>47</v>
      </c>
      <c r="O21" s="365" t="s">
        <v>48</v>
      </c>
    </row>
    <row r="22" spans="1:15" ht="15" customHeight="1" x14ac:dyDescent="0.25">
      <c r="A22" s="320"/>
      <c r="B22" s="320"/>
      <c r="C22" s="338"/>
      <c r="D22" s="338"/>
      <c r="E22" s="338"/>
      <c r="F22" s="320"/>
      <c r="G22" s="374"/>
      <c r="H22" s="398"/>
      <c r="I22" s="374"/>
      <c r="J22" s="316"/>
      <c r="K22" s="316"/>
      <c r="L22" s="320"/>
      <c r="M22" s="320"/>
      <c r="N22" s="374"/>
      <c r="O22" s="366"/>
    </row>
    <row r="23" spans="1:15" x14ac:dyDescent="0.25">
      <c r="A23" s="320"/>
      <c r="B23" s="320"/>
      <c r="C23" s="338"/>
      <c r="D23" s="338"/>
      <c r="E23" s="338"/>
      <c r="F23" s="320"/>
      <c r="G23" s="374"/>
      <c r="H23" s="398"/>
      <c r="I23" s="374"/>
      <c r="J23" s="316"/>
      <c r="K23" s="316"/>
      <c r="L23" s="320"/>
      <c r="M23" s="320"/>
      <c r="N23" s="374"/>
      <c r="O23" s="366"/>
    </row>
    <row r="24" spans="1:15" ht="21.75" customHeight="1" thickBot="1" x14ac:dyDescent="0.3">
      <c r="A24" s="320"/>
      <c r="B24" s="320"/>
      <c r="C24" s="338"/>
      <c r="D24" s="338"/>
      <c r="E24" s="338"/>
      <c r="F24" s="320"/>
      <c r="G24" s="374"/>
      <c r="H24" s="398"/>
      <c r="I24" s="375"/>
      <c r="J24" s="317"/>
      <c r="K24" s="316"/>
      <c r="L24" s="320"/>
      <c r="M24" s="320"/>
      <c r="N24" s="374"/>
      <c r="O24" s="366"/>
    </row>
    <row r="25" spans="1:15" x14ac:dyDescent="0.25">
      <c r="A25" s="320"/>
      <c r="B25" s="320"/>
      <c r="C25" s="338"/>
      <c r="D25" s="338"/>
      <c r="E25" s="338"/>
      <c r="F25" s="320"/>
      <c r="G25" s="374"/>
      <c r="H25" s="398"/>
      <c r="I25" s="343" t="s">
        <v>52</v>
      </c>
      <c r="J25" s="333" t="s">
        <v>19</v>
      </c>
      <c r="K25" s="316"/>
      <c r="L25" s="320"/>
      <c r="M25" s="320"/>
      <c r="N25" s="374"/>
      <c r="O25" s="366"/>
    </row>
    <row r="26" spans="1:15" ht="15.75" thickBot="1" x14ac:dyDescent="0.3">
      <c r="A26" s="321"/>
      <c r="B26" s="321"/>
      <c r="C26" s="339"/>
      <c r="D26" s="339"/>
      <c r="E26" s="339"/>
      <c r="F26" s="321"/>
      <c r="G26" s="375"/>
      <c r="H26" s="399"/>
      <c r="I26" s="344"/>
      <c r="J26" s="334"/>
      <c r="K26" s="317"/>
      <c r="L26" s="321"/>
      <c r="M26" s="321"/>
      <c r="N26" s="375"/>
      <c r="O26" s="367"/>
    </row>
    <row r="27" spans="1:15" x14ac:dyDescent="0.25">
      <c r="A27" s="111">
        <v>1</v>
      </c>
      <c r="B27" s="112">
        <v>2</v>
      </c>
      <c r="C27" s="113">
        <v>3</v>
      </c>
      <c r="D27" s="113">
        <v>4</v>
      </c>
      <c r="E27" s="113">
        <v>5</v>
      </c>
      <c r="F27" s="113">
        <v>6</v>
      </c>
      <c r="G27" s="113"/>
      <c r="H27" s="113"/>
      <c r="I27" s="113">
        <v>10</v>
      </c>
      <c r="J27" s="113">
        <v>11</v>
      </c>
      <c r="K27" s="114">
        <v>14</v>
      </c>
      <c r="L27" s="114">
        <v>15</v>
      </c>
      <c r="M27" s="114">
        <v>16</v>
      </c>
      <c r="N27" s="113">
        <v>17</v>
      </c>
      <c r="O27" s="115">
        <v>18</v>
      </c>
    </row>
    <row r="28" spans="1:15" x14ac:dyDescent="0.25">
      <c r="A28" s="376" t="s">
        <v>284</v>
      </c>
      <c r="B28" s="377"/>
      <c r="C28" s="113"/>
      <c r="D28" s="113"/>
      <c r="E28" s="113"/>
      <c r="F28" s="113"/>
      <c r="G28" s="113"/>
      <c r="H28" s="113"/>
      <c r="I28" s="113"/>
      <c r="J28" s="113"/>
      <c r="K28" s="114"/>
      <c r="L28" s="114"/>
      <c r="M28" s="114"/>
      <c r="N28" s="113"/>
      <c r="O28" s="115"/>
    </row>
    <row r="29" spans="1:15" s="90" customFormat="1" x14ac:dyDescent="0.25">
      <c r="A29" s="272">
        <v>1</v>
      </c>
      <c r="B29" s="273" t="s">
        <v>73</v>
      </c>
      <c r="C29" s="229" t="s">
        <v>103</v>
      </c>
      <c r="D29" s="229">
        <v>4.7699999999999996</v>
      </c>
      <c r="E29" s="117">
        <v>17697</v>
      </c>
      <c r="F29" s="117">
        <f>D29*E29</f>
        <v>84414.689999999988</v>
      </c>
      <c r="G29" s="117">
        <f>F29*3.42</f>
        <v>288698.23979999998</v>
      </c>
      <c r="H29" s="117">
        <f>G29*10%</f>
        <v>28869.823980000001</v>
      </c>
      <c r="I29" s="158">
        <v>1.5</v>
      </c>
      <c r="J29" s="117">
        <f t="shared" ref="J29:J35" si="0">E29*I29</f>
        <v>26545.5</v>
      </c>
      <c r="K29" s="117">
        <f>G29+H29+J29</f>
        <v>344113.56377999997</v>
      </c>
      <c r="L29" s="117">
        <f>K29/163.33</f>
        <v>2106.8607345864198</v>
      </c>
      <c r="M29" s="117">
        <f>L29/60</f>
        <v>35.114345576440329</v>
      </c>
      <c r="N29" s="117">
        <v>15</v>
      </c>
      <c r="O29" s="118">
        <f>M29*N29</f>
        <v>526.71518364660494</v>
      </c>
    </row>
    <row r="30" spans="1:15" s="90" customFormat="1" x14ac:dyDescent="0.25">
      <c r="A30" s="274">
        <v>2</v>
      </c>
      <c r="B30" s="273" t="s">
        <v>77</v>
      </c>
      <c r="C30" s="234" t="s">
        <v>105</v>
      </c>
      <c r="D30" s="234">
        <v>5.83</v>
      </c>
      <c r="E30" s="117">
        <v>17697</v>
      </c>
      <c r="F30" s="117">
        <f t="shared" ref="F30:F35" si="1">D30*E30</f>
        <v>103173.51</v>
      </c>
      <c r="G30" s="117">
        <f t="shared" ref="G30:G35" si="2">F30*3.42</f>
        <v>352853.40419999999</v>
      </c>
      <c r="H30" s="117">
        <f t="shared" ref="H30:H35" si="3">G30*10%</f>
        <v>35285.34042</v>
      </c>
      <c r="I30" s="158">
        <v>1.5</v>
      </c>
      <c r="J30" s="117">
        <f t="shared" si="0"/>
        <v>26545.5</v>
      </c>
      <c r="K30" s="117">
        <f t="shared" ref="K30:K35" si="4">G30+H30+J30</f>
        <v>414684.24462000001</v>
      </c>
      <c r="L30" s="117">
        <f t="shared" ref="L30" si="5">K30/163.33</f>
        <v>2538.9349453254149</v>
      </c>
      <c r="M30" s="117">
        <f t="shared" ref="M30" si="6">L30/60</f>
        <v>42.315582422090252</v>
      </c>
      <c r="N30" s="117">
        <v>45</v>
      </c>
      <c r="O30" s="118">
        <f t="shared" ref="O30" si="7">M30*N30</f>
        <v>1904.2012089940613</v>
      </c>
    </row>
    <row r="31" spans="1:15" s="90" customFormat="1" x14ac:dyDescent="0.25">
      <c r="A31" s="272">
        <v>3</v>
      </c>
      <c r="B31" s="273" t="s">
        <v>74</v>
      </c>
      <c r="C31" s="234" t="s">
        <v>105</v>
      </c>
      <c r="D31" s="229">
        <v>5.83</v>
      </c>
      <c r="E31" s="117">
        <v>17697</v>
      </c>
      <c r="F31" s="117">
        <f t="shared" si="1"/>
        <v>103173.51</v>
      </c>
      <c r="G31" s="117">
        <f t="shared" si="2"/>
        <v>352853.40419999999</v>
      </c>
      <c r="H31" s="117">
        <f t="shared" si="3"/>
        <v>35285.34042</v>
      </c>
      <c r="I31" s="158">
        <v>1.5</v>
      </c>
      <c r="J31" s="117">
        <f t="shared" si="0"/>
        <v>26545.5</v>
      </c>
      <c r="K31" s="117">
        <f t="shared" si="4"/>
        <v>414684.24462000001</v>
      </c>
      <c r="L31" s="117">
        <f>K31/163.33</f>
        <v>2538.9349453254149</v>
      </c>
      <c r="M31" s="117">
        <f>L31/60</f>
        <v>42.315582422090252</v>
      </c>
      <c r="N31" s="117">
        <v>45</v>
      </c>
      <c r="O31" s="118">
        <f>M31*N31</f>
        <v>1904.2012089940613</v>
      </c>
    </row>
    <row r="32" spans="1:15" x14ac:dyDescent="0.25">
      <c r="A32" s="146">
        <v>4</v>
      </c>
      <c r="B32" s="177" t="s">
        <v>97</v>
      </c>
      <c r="C32" s="147" t="s">
        <v>106</v>
      </c>
      <c r="D32" s="113">
        <v>3.49</v>
      </c>
      <c r="E32" s="117">
        <v>17697</v>
      </c>
      <c r="F32" s="117">
        <f t="shared" si="1"/>
        <v>61762.530000000006</v>
      </c>
      <c r="G32" s="117">
        <f t="shared" si="2"/>
        <v>211227.85260000001</v>
      </c>
      <c r="H32" s="117">
        <f t="shared" si="3"/>
        <v>21122.785260000004</v>
      </c>
      <c r="I32" s="158">
        <v>1</v>
      </c>
      <c r="J32" s="117">
        <f t="shared" si="0"/>
        <v>17697</v>
      </c>
      <c r="K32" s="117">
        <f t="shared" si="4"/>
        <v>250047.63786000002</v>
      </c>
      <c r="L32" s="117">
        <f t="shared" ref="L32:L35" si="8">K32/163.33</f>
        <v>1530.9351488397722</v>
      </c>
      <c r="M32" s="117">
        <f t="shared" ref="M32:M35" si="9">L32/60</f>
        <v>25.515585813996204</v>
      </c>
      <c r="N32" s="117">
        <v>15</v>
      </c>
      <c r="O32" s="118">
        <f t="shared" ref="O32:O35" si="10">M32*N32</f>
        <v>382.73378720994305</v>
      </c>
    </row>
    <row r="33" spans="1:15" x14ac:dyDescent="0.25">
      <c r="A33" s="111">
        <v>5</v>
      </c>
      <c r="B33" s="177" t="s">
        <v>99</v>
      </c>
      <c r="C33" s="147" t="s">
        <v>104</v>
      </c>
      <c r="D33" s="113">
        <v>3.41</v>
      </c>
      <c r="E33" s="117">
        <v>17697</v>
      </c>
      <c r="F33" s="117">
        <f t="shared" si="1"/>
        <v>60346.770000000004</v>
      </c>
      <c r="G33" s="117">
        <f t="shared" si="2"/>
        <v>206385.9534</v>
      </c>
      <c r="H33" s="117">
        <f t="shared" si="3"/>
        <v>20638.59534</v>
      </c>
      <c r="I33" s="158">
        <v>1</v>
      </c>
      <c r="J33" s="117">
        <f t="shared" si="0"/>
        <v>17697</v>
      </c>
      <c r="K33" s="117">
        <f t="shared" si="4"/>
        <v>244721.54874</v>
      </c>
      <c r="L33" s="117">
        <f t="shared" si="8"/>
        <v>1498.3257744443763</v>
      </c>
      <c r="M33" s="117">
        <f t="shared" si="9"/>
        <v>24.972096240739607</v>
      </c>
      <c r="N33" s="117">
        <v>45</v>
      </c>
      <c r="O33" s="118">
        <f t="shared" si="10"/>
        <v>1123.7443308332822</v>
      </c>
    </row>
    <row r="34" spans="1:15" x14ac:dyDescent="0.25">
      <c r="A34" s="111">
        <v>6</v>
      </c>
      <c r="B34" s="177" t="s">
        <v>283</v>
      </c>
      <c r="C34" s="147" t="s">
        <v>104</v>
      </c>
      <c r="D34" s="113">
        <v>3.73</v>
      </c>
      <c r="E34" s="117">
        <v>17697</v>
      </c>
      <c r="F34" s="117">
        <f t="shared" si="1"/>
        <v>66009.81</v>
      </c>
      <c r="G34" s="117">
        <f t="shared" si="2"/>
        <v>225753.5502</v>
      </c>
      <c r="H34" s="117">
        <f t="shared" si="3"/>
        <v>22575.355020000003</v>
      </c>
      <c r="I34" s="158">
        <v>1</v>
      </c>
      <c r="J34" s="117">
        <f t="shared" si="0"/>
        <v>17697</v>
      </c>
      <c r="K34" s="117">
        <f t="shared" si="4"/>
        <v>266025.90522000002</v>
      </c>
      <c r="L34" s="117">
        <f t="shared" si="8"/>
        <v>1628.7632720259596</v>
      </c>
      <c r="M34" s="117">
        <f t="shared" si="9"/>
        <v>27.146054533765994</v>
      </c>
      <c r="N34" s="117">
        <v>30</v>
      </c>
      <c r="O34" s="118">
        <f t="shared" si="10"/>
        <v>814.38163601297981</v>
      </c>
    </row>
    <row r="35" spans="1:15" x14ac:dyDescent="0.25">
      <c r="A35" s="146">
        <v>7</v>
      </c>
      <c r="B35" s="177" t="s">
        <v>101</v>
      </c>
      <c r="C35" s="147">
        <v>4</v>
      </c>
      <c r="D35" s="113">
        <v>2.89</v>
      </c>
      <c r="E35" s="117">
        <v>17697</v>
      </c>
      <c r="F35" s="117">
        <f t="shared" si="1"/>
        <v>51144.33</v>
      </c>
      <c r="G35" s="117">
        <f t="shared" si="2"/>
        <v>174913.60860000001</v>
      </c>
      <c r="H35" s="117">
        <f t="shared" si="3"/>
        <v>17491.360860000001</v>
      </c>
      <c r="I35" s="158"/>
      <c r="J35" s="117">
        <f t="shared" si="0"/>
        <v>0</v>
      </c>
      <c r="K35" s="117">
        <f t="shared" si="4"/>
        <v>192404.96945999999</v>
      </c>
      <c r="L35" s="117">
        <f t="shared" si="8"/>
        <v>1178.0136500336739</v>
      </c>
      <c r="M35" s="117">
        <f t="shared" si="9"/>
        <v>19.633560833894567</v>
      </c>
      <c r="N35" s="117">
        <v>15</v>
      </c>
      <c r="O35" s="118">
        <f t="shared" si="10"/>
        <v>294.50341250841848</v>
      </c>
    </row>
    <row r="36" spans="1:15" ht="15.75" thickBot="1" x14ac:dyDescent="0.3">
      <c r="A36" s="119"/>
      <c r="B36" s="120" t="s">
        <v>54</v>
      </c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>
        <f>SUM(O29:O33)</f>
        <v>5841.5957196779527</v>
      </c>
    </row>
    <row r="37" spans="1:15" ht="19.5" thickBot="1" x14ac:dyDescent="0.3">
      <c r="A37" s="370" t="s">
        <v>16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2"/>
      <c r="M37" s="167"/>
    </row>
    <row r="38" spans="1:15" ht="77.25" thickBot="1" x14ac:dyDescent="0.3">
      <c r="A38" s="168" t="s">
        <v>7</v>
      </c>
      <c r="B38" s="169" t="s">
        <v>55</v>
      </c>
      <c r="C38" s="170" t="s">
        <v>56</v>
      </c>
      <c r="D38" s="171" t="s">
        <v>57</v>
      </c>
      <c r="E38" s="169" t="s">
        <v>58</v>
      </c>
      <c r="F38" s="172" t="s">
        <v>59</v>
      </c>
      <c r="G38" s="173" t="s">
        <v>60</v>
      </c>
      <c r="H38" s="169" t="s">
        <v>61</v>
      </c>
      <c r="I38" s="169" t="s">
        <v>62</v>
      </c>
      <c r="J38" s="174" t="s">
        <v>63</v>
      </c>
      <c r="K38" s="175" t="s">
        <v>64</v>
      </c>
      <c r="L38" s="176" t="s">
        <v>65</v>
      </c>
    </row>
    <row r="39" spans="1:15" ht="25.5" x14ac:dyDescent="0.25">
      <c r="A39" s="124">
        <v>1</v>
      </c>
      <c r="B39" s="165" t="s">
        <v>78</v>
      </c>
      <c r="C39" s="91">
        <v>1</v>
      </c>
      <c r="D39" s="92">
        <v>2008</v>
      </c>
      <c r="E39" s="93">
        <v>13780000</v>
      </c>
      <c r="F39" s="93">
        <f>E39*100%</f>
        <v>13780000</v>
      </c>
      <c r="G39" s="136">
        <v>0.1</v>
      </c>
      <c r="H39" s="93">
        <f>E39-F39</f>
        <v>0</v>
      </c>
      <c r="I39" s="93">
        <f>H39*G39/100</f>
        <v>0</v>
      </c>
      <c r="J39" s="93">
        <f>I39/1968</f>
        <v>0</v>
      </c>
      <c r="K39" s="93">
        <v>15</v>
      </c>
      <c r="L39" s="126">
        <f>J39*K39</f>
        <v>0</v>
      </c>
    </row>
    <row r="40" spans="1:15" x14ac:dyDescent="0.25">
      <c r="E40" s="141"/>
    </row>
    <row r="41" spans="1:15" ht="18.75" x14ac:dyDescent="0.3">
      <c r="B41" s="130"/>
      <c r="C41" s="131"/>
      <c r="D41" s="132"/>
      <c r="E41" s="141"/>
      <c r="G41" s="133"/>
      <c r="H41" s="134"/>
      <c r="J41" s="127"/>
      <c r="K41" s="128"/>
    </row>
    <row r="42" spans="1:15" ht="18.75" x14ac:dyDescent="0.3">
      <c r="B42" s="143" t="s">
        <v>67</v>
      </c>
      <c r="C42" s="143" t="s">
        <v>68</v>
      </c>
      <c r="D42" s="144"/>
      <c r="E42" s="142" t="s">
        <v>316</v>
      </c>
      <c r="F42" s="135"/>
      <c r="G42" s="133"/>
      <c r="H42" s="134"/>
      <c r="J42" s="127"/>
      <c r="K42" s="128"/>
    </row>
    <row r="43" spans="1:15" ht="18.75" x14ac:dyDescent="0.3">
      <c r="B43" s="145"/>
      <c r="C43" s="143"/>
      <c r="D43" s="144"/>
      <c r="E43" s="142"/>
      <c r="F43" s="135"/>
      <c r="G43" s="133"/>
      <c r="H43" s="134"/>
      <c r="J43" s="127"/>
      <c r="K43" s="128"/>
    </row>
    <row r="44" spans="1:15" ht="18.75" x14ac:dyDescent="0.3">
      <c r="B44" s="145" t="s">
        <v>70</v>
      </c>
      <c r="C44" s="143" t="s">
        <v>68</v>
      </c>
      <c r="D44" s="144"/>
      <c r="E44" s="135" t="s">
        <v>322</v>
      </c>
      <c r="F44" s="144"/>
      <c r="G44" s="133"/>
      <c r="H44" s="134"/>
      <c r="J44" s="127"/>
      <c r="K44" s="128"/>
    </row>
    <row r="45" spans="1:15" ht="15.75" x14ac:dyDescent="0.25">
      <c r="B45" s="145"/>
      <c r="C45" s="135"/>
      <c r="D45" s="135"/>
      <c r="E45" s="135"/>
      <c r="F45" s="135"/>
    </row>
    <row r="46" spans="1:15" ht="15.75" x14ac:dyDescent="0.25">
      <c r="B46" s="135"/>
      <c r="C46" s="143"/>
      <c r="D46" s="135"/>
      <c r="E46" s="135"/>
      <c r="F46" s="135"/>
    </row>
    <row r="47" spans="1:15" ht="15.75" x14ac:dyDescent="0.25">
      <c r="B47" s="135"/>
      <c r="C47" s="129"/>
      <c r="D47" s="129"/>
      <c r="E47" s="129"/>
    </row>
  </sheetData>
  <mergeCells count="35">
    <mergeCell ref="A16:F16"/>
    <mergeCell ref="A6:M6"/>
    <mergeCell ref="A7:M7"/>
    <mergeCell ref="A8:M8"/>
    <mergeCell ref="A10:A12"/>
    <mergeCell ref="B10:B12"/>
    <mergeCell ref="C10:H10"/>
    <mergeCell ref="I10:J10"/>
    <mergeCell ref="K10:K12"/>
    <mergeCell ref="L10:L12"/>
    <mergeCell ref="M10:M12"/>
    <mergeCell ref="D11:F11"/>
    <mergeCell ref="G11:G12"/>
    <mergeCell ref="H11:H12"/>
    <mergeCell ref="I11:I12"/>
    <mergeCell ref="J11:J12"/>
    <mergeCell ref="O21:O26"/>
    <mergeCell ref="I25:I26"/>
    <mergeCell ref="J25:J26"/>
    <mergeCell ref="A28:B28"/>
    <mergeCell ref="A20:M20"/>
    <mergeCell ref="A21:A26"/>
    <mergeCell ref="B21:B26"/>
    <mergeCell ref="C21:C26"/>
    <mergeCell ref="D21:D26"/>
    <mergeCell ref="E21:E26"/>
    <mergeCell ref="F21:F26"/>
    <mergeCell ref="I21:J24"/>
    <mergeCell ref="K21:K26"/>
    <mergeCell ref="M21:M26"/>
    <mergeCell ref="A37:L37"/>
    <mergeCell ref="G21:G26"/>
    <mergeCell ref="H21:H26"/>
    <mergeCell ref="L21:L26"/>
    <mergeCell ref="N21:N26"/>
  </mergeCells>
  <pageMargins left="0" right="0" top="0" bottom="0" header="0.31496062992125984" footer="0.31496062992125984"/>
  <pageSetup paperSize="9" scale="5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>
      <selection activeCell="D17" sqref="D17"/>
    </sheetView>
  </sheetViews>
  <sheetFormatPr defaultRowHeight="15" x14ac:dyDescent="0.25"/>
  <cols>
    <col min="1" max="1" width="6.7109375" style="89" customWidth="1"/>
    <col min="2" max="2" width="58.28515625" style="89" customWidth="1"/>
    <col min="3" max="3" width="16.5703125" style="89" customWidth="1"/>
    <col min="4" max="16384" width="9.140625" style="89"/>
  </cols>
  <sheetData>
    <row r="1" spans="1:11" ht="18.75" x14ac:dyDescent="0.3">
      <c r="B1" s="392" t="s">
        <v>290</v>
      </c>
      <c r="C1" s="392"/>
      <c r="D1" s="256"/>
      <c r="E1" s="256"/>
      <c r="F1" s="256"/>
      <c r="G1" s="256"/>
      <c r="H1" s="256"/>
      <c r="I1" s="256"/>
    </row>
    <row r="2" spans="1:11" ht="18.75" x14ac:dyDescent="0.3">
      <c r="B2" s="393" t="s">
        <v>307</v>
      </c>
      <c r="C2" s="393"/>
    </row>
    <row r="3" spans="1:11" ht="18.75" x14ac:dyDescent="0.3">
      <c r="B3" s="393" t="s">
        <v>311</v>
      </c>
      <c r="C3" s="393"/>
    </row>
    <row r="4" spans="1:11" ht="18.75" x14ac:dyDescent="0.3">
      <c r="B4" s="393" t="s">
        <v>292</v>
      </c>
      <c r="C4" s="393"/>
    </row>
    <row r="5" spans="1:11" ht="18.75" x14ac:dyDescent="0.3">
      <c r="B5" s="393" t="s">
        <v>340</v>
      </c>
      <c r="C5" s="393"/>
    </row>
    <row r="8" spans="1:11" ht="18.75" x14ac:dyDescent="0.3">
      <c r="A8" s="346" t="s">
        <v>287</v>
      </c>
      <c r="B8" s="346"/>
      <c r="C8" s="346"/>
      <c r="D8" s="254"/>
      <c r="E8" s="254"/>
      <c r="F8" s="254"/>
      <c r="G8" s="254"/>
      <c r="H8" s="254"/>
      <c r="I8" s="254"/>
      <c r="J8" s="254"/>
      <c r="K8" s="254"/>
    </row>
    <row r="9" spans="1:11" ht="18.75" customHeight="1" x14ac:dyDescent="0.25">
      <c r="A9" s="347" t="s">
        <v>312</v>
      </c>
      <c r="B9" s="347"/>
      <c r="C9" s="347"/>
      <c r="D9" s="255"/>
      <c r="E9" s="255"/>
      <c r="F9" s="255"/>
      <c r="G9" s="255"/>
      <c r="H9" s="255"/>
      <c r="I9" s="255"/>
      <c r="J9" s="255"/>
      <c r="K9" s="255"/>
    </row>
    <row r="10" spans="1:11" ht="18.75" x14ac:dyDescent="0.3">
      <c r="A10" s="346" t="s">
        <v>305</v>
      </c>
      <c r="B10" s="346"/>
      <c r="C10" s="346"/>
      <c r="D10" s="254"/>
      <c r="E10" s="254"/>
      <c r="F10" s="254"/>
      <c r="G10" s="254"/>
      <c r="H10" s="254"/>
      <c r="I10" s="254"/>
      <c r="J10" s="254"/>
      <c r="K10" s="254"/>
    </row>
    <row r="11" spans="1:11" x14ac:dyDescent="0.25">
      <c r="A11" s="257"/>
      <c r="B11" s="257"/>
      <c r="C11" s="257"/>
    </row>
    <row r="12" spans="1:11" ht="16.5" thickBot="1" x14ac:dyDescent="0.3">
      <c r="A12" s="258" t="s">
        <v>7</v>
      </c>
      <c r="B12" s="258" t="s">
        <v>288</v>
      </c>
      <c r="C12" s="258" t="s">
        <v>289</v>
      </c>
    </row>
    <row r="13" spans="1:11" ht="15.75" x14ac:dyDescent="0.25">
      <c r="A13" s="259">
        <v>1</v>
      </c>
      <c r="B13" s="277" t="s">
        <v>336</v>
      </c>
      <c r="C13" s="260">
        <v>5030</v>
      </c>
    </row>
    <row r="16" spans="1:11" x14ac:dyDescent="0.25">
      <c r="B16" s="276" t="s">
        <v>344</v>
      </c>
    </row>
    <row r="19" spans="2:2" x14ac:dyDescent="0.25">
      <c r="B19" s="275" t="s">
        <v>341</v>
      </c>
    </row>
  </sheetData>
  <mergeCells count="8">
    <mergeCell ref="A9:C9"/>
    <mergeCell ref="A10:C10"/>
    <mergeCell ref="B1:C1"/>
    <mergeCell ref="B2:C2"/>
    <mergeCell ref="B3:C3"/>
    <mergeCell ref="B4:C4"/>
    <mergeCell ref="B5:C5"/>
    <mergeCell ref="A8:C8"/>
  </mergeCells>
  <pageMargins left="0.7" right="0.7" top="0.75" bottom="0.75" header="0.3" footer="0.3"/>
  <pageSetup paperSize="9" scale="6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topLeftCell="A16" zoomScaleNormal="100" zoomScaleSheetLayoutView="100" workbookViewId="0">
      <selection activeCell="N32" sqref="N32"/>
    </sheetView>
  </sheetViews>
  <sheetFormatPr defaultRowHeight="15" x14ac:dyDescent="0.25"/>
  <cols>
    <col min="1" max="1" width="7.42578125" style="89" customWidth="1"/>
    <col min="2" max="2" width="28" style="89" customWidth="1"/>
    <col min="3" max="3" width="12.5703125" style="89" customWidth="1"/>
    <col min="4" max="4" width="12.7109375" style="89" customWidth="1"/>
    <col min="5" max="5" width="12.5703125" style="89" customWidth="1"/>
    <col min="6" max="6" width="11.140625" style="89" customWidth="1"/>
    <col min="7" max="7" width="11.85546875" style="89" customWidth="1"/>
    <col min="8" max="8" width="12.42578125" style="89" customWidth="1"/>
    <col min="9" max="9" width="11.85546875" style="89" customWidth="1"/>
    <col min="10" max="10" width="14.7109375" style="89" bestFit="1" customWidth="1"/>
    <col min="11" max="11" width="9.140625" style="89" customWidth="1"/>
    <col min="12" max="12" width="10.42578125" style="89" customWidth="1"/>
    <col min="13" max="13" width="13.85546875" style="89" customWidth="1"/>
    <col min="14" max="14" width="10.5703125" style="89" customWidth="1"/>
    <col min="15" max="16384" width="9.140625" style="89"/>
  </cols>
  <sheetData>
    <row r="1" spans="1:14" ht="18.75" customHeight="1" x14ac:dyDescent="0.3">
      <c r="A1" s="94"/>
      <c r="B1" s="95"/>
      <c r="C1" s="96"/>
      <c r="D1" s="96"/>
      <c r="E1" s="94"/>
      <c r="F1" s="94"/>
      <c r="G1" s="96"/>
      <c r="H1" s="392" t="s">
        <v>0</v>
      </c>
      <c r="I1" s="392"/>
      <c r="J1" s="392"/>
      <c r="K1" s="392"/>
      <c r="L1" s="392"/>
      <c r="M1" s="392"/>
      <c r="N1" s="392"/>
    </row>
    <row r="2" spans="1:14" ht="18.75" x14ac:dyDescent="0.3">
      <c r="A2" s="94"/>
      <c r="B2" s="95"/>
      <c r="C2" s="96"/>
      <c r="D2" s="96"/>
      <c r="E2" s="94"/>
      <c r="F2" s="94"/>
      <c r="G2" s="96"/>
      <c r="H2" s="392" t="s">
        <v>1</v>
      </c>
      <c r="I2" s="392"/>
      <c r="J2" s="392"/>
      <c r="K2" s="392"/>
      <c r="L2" s="392"/>
      <c r="M2" s="392"/>
      <c r="N2" s="392"/>
    </row>
    <row r="3" spans="1:14" ht="18.75" x14ac:dyDescent="0.3">
      <c r="A3" s="94"/>
      <c r="B3" s="95"/>
      <c r="C3" s="96"/>
      <c r="D3" s="96"/>
      <c r="E3" s="94"/>
      <c r="F3" s="94"/>
      <c r="G3" s="96"/>
      <c r="H3" s="392" t="s">
        <v>2</v>
      </c>
      <c r="I3" s="392"/>
      <c r="J3" s="392"/>
      <c r="K3" s="392"/>
      <c r="L3" s="392"/>
      <c r="M3" s="392"/>
      <c r="N3" s="392"/>
    </row>
    <row r="4" spans="1:14" ht="18.75" x14ac:dyDescent="0.3">
      <c r="A4" s="94"/>
      <c r="B4" s="95"/>
      <c r="C4" s="96"/>
      <c r="D4" s="96"/>
      <c r="E4" s="94"/>
      <c r="F4" s="94"/>
      <c r="G4" s="96"/>
      <c r="H4" s="392" t="s">
        <v>3</v>
      </c>
      <c r="I4" s="392"/>
      <c r="J4" s="392"/>
      <c r="K4" s="392"/>
      <c r="L4" s="392"/>
      <c r="M4" s="392"/>
      <c r="N4" s="392"/>
    </row>
    <row r="5" spans="1:14" ht="18.75" x14ac:dyDescent="0.3">
      <c r="A5" s="94"/>
      <c r="B5" s="95"/>
      <c r="C5" s="96"/>
      <c r="D5" s="96"/>
      <c r="E5" s="94"/>
      <c r="F5" s="94"/>
      <c r="G5" s="96"/>
      <c r="H5" s="392" t="s">
        <v>317</v>
      </c>
      <c r="I5" s="392"/>
      <c r="J5" s="392"/>
      <c r="K5" s="392"/>
      <c r="L5" s="392"/>
      <c r="M5" s="392"/>
      <c r="N5" s="392"/>
    </row>
    <row r="6" spans="1:14" ht="18.75" x14ac:dyDescent="0.3">
      <c r="A6" s="94"/>
      <c r="B6" s="95"/>
      <c r="C6" s="96"/>
      <c r="D6" s="96"/>
      <c r="E6" s="94"/>
      <c r="F6" s="94"/>
      <c r="G6" s="96"/>
      <c r="H6" s="94"/>
      <c r="I6" s="278"/>
      <c r="J6" s="278"/>
      <c r="K6" s="278"/>
      <c r="L6" s="90"/>
      <c r="M6" s="97"/>
      <c r="N6" s="97"/>
    </row>
    <row r="7" spans="1:14" ht="18.75" x14ac:dyDescent="0.3">
      <c r="A7" s="94"/>
      <c r="B7" s="95"/>
      <c r="C7" s="96"/>
      <c r="D7" s="96"/>
      <c r="E7" s="94"/>
      <c r="F7" s="94"/>
      <c r="G7" s="96"/>
      <c r="H7" s="94"/>
      <c r="I7" s="278"/>
      <c r="J7" s="278"/>
      <c r="K7" s="278"/>
      <c r="L7" s="90"/>
      <c r="M7" s="97"/>
      <c r="N7" s="97"/>
    </row>
    <row r="8" spans="1:14" ht="18.75" x14ac:dyDescent="0.3">
      <c r="A8" s="346" t="s">
        <v>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18.75" x14ac:dyDescent="0.25">
      <c r="A9" s="347" t="s">
        <v>72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</row>
    <row r="10" spans="1:14" ht="18.75" x14ac:dyDescent="0.3">
      <c r="A10" s="346" t="s">
        <v>305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ht="16.5" thickBot="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ht="61.5" customHeight="1" thickBot="1" x14ac:dyDescent="0.3">
      <c r="A12" s="348" t="s">
        <v>7</v>
      </c>
      <c r="B12" s="348" t="s">
        <v>8</v>
      </c>
      <c r="C12" s="351" t="s">
        <v>9</v>
      </c>
      <c r="D12" s="352"/>
      <c r="E12" s="352"/>
      <c r="F12" s="352"/>
      <c r="G12" s="353"/>
      <c r="H12" s="354"/>
      <c r="I12" s="279" t="s">
        <v>10</v>
      </c>
      <c r="J12" s="348" t="s">
        <v>11</v>
      </c>
      <c r="K12" s="355" t="s">
        <v>189</v>
      </c>
      <c r="L12" s="355" t="s">
        <v>13</v>
      </c>
    </row>
    <row r="13" spans="1:14" ht="48" thickBot="1" x14ac:dyDescent="0.3">
      <c r="A13" s="349"/>
      <c r="B13" s="349"/>
      <c r="C13" s="100" t="s">
        <v>14</v>
      </c>
      <c r="D13" s="360" t="s">
        <v>15</v>
      </c>
      <c r="E13" s="361"/>
      <c r="F13" s="362"/>
      <c r="G13" s="363" t="s">
        <v>16</v>
      </c>
      <c r="H13" s="348" t="s">
        <v>17</v>
      </c>
      <c r="I13" s="348" t="s">
        <v>19</v>
      </c>
      <c r="J13" s="349"/>
      <c r="K13" s="356"/>
      <c r="L13" s="356"/>
    </row>
    <row r="14" spans="1:14" ht="95.25" thickBot="1" x14ac:dyDescent="0.3">
      <c r="A14" s="350"/>
      <c r="B14" s="350"/>
      <c r="C14" s="101" t="s">
        <v>20</v>
      </c>
      <c r="D14" s="102" t="s">
        <v>21</v>
      </c>
      <c r="E14" s="103" t="s">
        <v>22</v>
      </c>
      <c r="F14" s="103" t="s">
        <v>23</v>
      </c>
      <c r="G14" s="364"/>
      <c r="H14" s="350"/>
      <c r="I14" s="350"/>
      <c r="J14" s="350"/>
      <c r="K14" s="357"/>
      <c r="L14" s="357"/>
    </row>
    <row r="15" spans="1:14" ht="15.75" x14ac:dyDescent="0.25">
      <c r="A15" s="23">
        <v>1</v>
      </c>
      <c r="B15" s="24">
        <v>2</v>
      </c>
      <c r="C15" s="25">
        <v>3</v>
      </c>
      <c r="D15" s="25">
        <v>4</v>
      </c>
      <c r="E15" s="26">
        <v>5</v>
      </c>
      <c r="F15" s="26">
        <v>6</v>
      </c>
      <c r="G15" s="25">
        <v>6</v>
      </c>
      <c r="H15" s="26">
        <v>7</v>
      </c>
      <c r="I15" s="26">
        <v>9</v>
      </c>
      <c r="J15" s="26">
        <v>10</v>
      </c>
      <c r="K15" s="27">
        <v>11</v>
      </c>
      <c r="L15" s="28">
        <v>12</v>
      </c>
    </row>
    <row r="16" spans="1:14" ht="31.5" x14ac:dyDescent="0.25">
      <c r="A16" s="216">
        <v>1</v>
      </c>
      <c r="B16" s="218" t="s">
        <v>318</v>
      </c>
      <c r="C16" s="73">
        <v>0</v>
      </c>
      <c r="D16" s="73">
        <f>$N$34</f>
        <v>3930</v>
      </c>
      <c r="E16" s="73">
        <f>D16*11%</f>
        <v>432.3</v>
      </c>
      <c r="F16" s="73"/>
      <c r="G16" s="73">
        <f>$L$37</f>
        <v>5214</v>
      </c>
      <c r="H16" s="73">
        <f>C16+D16+E16+G16</f>
        <v>9576.2999999999993</v>
      </c>
      <c r="I16" s="73">
        <f>F21</f>
        <v>5433.12</v>
      </c>
      <c r="J16" s="73">
        <f>H16+I16</f>
        <v>15009.419999999998</v>
      </c>
      <c r="K16" s="75">
        <f>(J16*15%)</f>
        <v>2251.4129999999996</v>
      </c>
      <c r="L16" s="217">
        <v>18011</v>
      </c>
      <c r="M16" s="90"/>
    </row>
    <row r="17" spans="1:14" x14ac:dyDescent="0.25">
      <c r="A17" s="107"/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90"/>
      <c r="M17" s="90"/>
      <c r="N17" s="90"/>
    </row>
    <row r="18" spans="1:14" ht="18.75" x14ac:dyDescent="0.25">
      <c r="A18" s="318" t="s">
        <v>26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</row>
    <row r="19" spans="1:14" ht="15.75" thickBot="1" x14ac:dyDescent="0.3">
      <c r="A19" s="38"/>
      <c r="B19" s="39"/>
      <c r="C19" s="40"/>
      <c r="D19" s="40"/>
      <c r="E19" s="41"/>
      <c r="F19" s="41"/>
      <c r="G19" s="40"/>
      <c r="H19" s="41"/>
      <c r="I19" s="42"/>
      <c r="J19" s="41"/>
      <c r="K19" s="41"/>
    </row>
    <row r="20" spans="1:14" ht="51.75" thickBot="1" x14ac:dyDescent="0.3">
      <c r="A20" s="43" t="s">
        <v>7</v>
      </c>
      <c r="B20" s="44" t="s">
        <v>27</v>
      </c>
      <c r="C20" s="44" t="s">
        <v>313</v>
      </c>
      <c r="D20" s="44" t="s">
        <v>29</v>
      </c>
      <c r="E20" s="45" t="s">
        <v>30</v>
      </c>
      <c r="F20" s="44" t="s">
        <v>31</v>
      </c>
    </row>
    <row r="21" spans="1:14" x14ac:dyDescent="0.25">
      <c r="A21" s="268">
        <v>1</v>
      </c>
      <c r="B21" s="209" t="s">
        <v>315</v>
      </c>
      <c r="C21" s="268">
        <v>14</v>
      </c>
      <c r="D21" s="268">
        <v>43.12</v>
      </c>
      <c r="E21" s="268">
        <v>3</v>
      </c>
      <c r="F21" s="268">
        <f>(C21*D21*E21)*3</f>
        <v>5433.12</v>
      </c>
    </row>
    <row r="22" spans="1:14" x14ac:dyDescent="0.25">
      <c r="A22" s="394" t="s">
        <v>194</v>
      </c>
      <c r="B22" s="395"/>
      <c r="C22" s="395"/>
      <c r="D22" s="395"/>
      <c r="E22" s="396"/>
      <c r="F22" s="195">
        <f>SUM(F21:F21)</f>
        <v>5433.12</v>
      </c>
      <c r="G22" s="110"/>
    </row>
    <row r="23" spans="1:14" ht="18.75" x14ac:dyDescent="0.25">
      <c r="A23" s="328" t="s">
        <v>37</v>
      </c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</row>
    <row r="24" spans="1:14" ht="19.5" thickBot="1" x14ac:dyDescent="0.3">
      <c r="A24" s="280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 t="s">
        <v>38</v>
      </c>
    </row>
    <row r="25" spans="1:14" ht="15.75" customHeight="1" thickBot="1" x14ac:dyDescent="0.3">
      <c r="A25" s="319" t="s">
        <v>7</v>
      </c>
      <c r="B25" s="319" t="s">
        <v>39</v>
      </c>
      <c r="C25" s="337" t="s">
        <v>40</v>
      </c>
      <c r="D25" s="337" t="s">
        <v>41</v>
      </c>
      <c r="E25" s="337" t="s">
        <v>102</v>
      </c>
      <c r="F25" s="319" t="s">
        <v>43</v>
      </c>
      <c r="G25" s="340" t="s">
        <v>188</v>
      </c>
      <c r="H25" s="341"/>
      <c r="I25" s="342"/>
      <c r="J25" s="315" t="s">
        <v>44</v>
      </c>
      <c r="K25" s="319" t="s">
        <v>45</v>
      </c>
      <c r="L25" s="319" t="s">
        <v>46</v>
      </c>
      <c r="M25" s="319" t="s">
        <v>47</v>
      </c>
      <c r="N25" s="319" t="s">
        <v>48</v>
      </c>
    </row>
    <row r="26" spans="1:14" ht="15" customHeight="1" x14ac:dyDescent="0.25">
      <c r="A26" s="320"/>
      <c r="B26" s="320"/>
      <c r="C26" s="338"/>
      <c r="D26" s="338"/>
      <c r="E26" s="338"/>
      <c r="F26" s="320"/>
      <c r="G26" s="315" t="s">
        <v>49</v>
      </c>
      <c r="H26" s="315" t="s">
        <v>50</v>
      </c>
      <c r="I26" s="332" t="s">
        <v>187</v>
      </c>
      <c r="J26" s="316"/>
      <c r="K26" s="320"/>
      <c r="L26" s="320"/>
      <c r="M26" s="320"/>
      <c r="N26" s="320"/>
    </row>
    <row r="27" spans="1:14" x14ac:dyDescent="0.25">
      <c r="A27" s="320"/>
      <c r="B27" s="320"/>
      <c r="C27" s="338"/>
      <c r="D27" s="338"/>
      <c r="E27" s="338"/>
      <c r="F27" s="320"/>
      <c r="G27" s="316"/>
      <c r="H27" s="316"/>
      <c r="I27" s="320"/>
      <c r="J27" s="316"/>
      <c r="K27" s="320"/>
      <c r="L27" s="320"/>
      <c r="M27" s="320"/>
      <c r="N27" s="320"/>
    </row>
    <row r="28" spans="1:14" ht="15.75" thickBot="1" x14ac:dyDescent="0.3">
      <c r="A28" s="320"/>
      <c r="B28" s="320"/>
      <c r="C28" s="338"/>
      <c r="D28" s="338"/>
      <c r="E28" s="338"/>
      <c r="F28" s="320"/>
      <c r="G28" s="317"/>
      <c r="H28" s="317"/>
      <c r="I28" s="321"/>
      <c r="J28" s="316"/>
      <c r="K28" s="320"/>
      <c r="L28" s="320"/>
      <c r="M28" s="320"/>
      <c r="N28" s="320"/>
    </row>
    <row r="29" spans="1:14" x14ac:dyDescent="0.25">
      <c r="A29" s="320"/>
      <c r="B29" s="320"/>
      <c r="C29" s="338"/>
      <c r="D29" s="338"/>
      <c r="E29" s="338"/>
      <c r="F29" s="320"/>
      <c r="G29" s="343" t="s">
        <v>19</v>
      </c>
      <c r="H29" s="333" t="s">
        <v>19</v>
      </c>
      <c r="I29" s="335" t="s">
        <v>19</v>
      </c>
      <c r="J29" s="316"/>
      <c r="K29" s="320"/>
      <c r="L29" s="320"/>
      <c r="M29" s="320"/>
      <c r="N29" s="320"/>
    </row>
    <row r="30" spans="1:14" ht="23.25" customHeight="1" thickBot="1" x14ac:dyDescent="0.3">
      <c r="A30" s="321"/>
      <c r="B30" s="321"/>
      <c r="C30" s="339"/>
      <c r="D30" s="339"/>
      <c r="E30" s="339"/>
      <c r="F30" s="321"/>
      <c r="G30" s="344"/>
      <c r="H30" s="334"/>
      <c r="I30" s="336"/>
      <c r="J30" s="317"/>
      <c r="K30" s="321"/>
      <c r="L30" s="321"/>
      <c r="M30" s="321"/>
      <c r="N30" s="321"/>
    </row>
    <row r="31" spans="1:14" ht="13.5" customHeight="1" x14ac:dyDescent="0.25">
      <c r="A31" s="111">
        <v>1</v>
      </c>
      <c r="B31" s="112">
        <v>2</v>
      </c>
      <c r="C31" s="113">
        <v>3</v>
      </c>
      <c r="D31" s="113">
        <v>4</v>
      </c>
      <c r="E31" s="113">
        <v>5</v>
      </c>
      <c r="F31" s="113">
        <v>6</v>
      </c>
      <c r="G31" s="113">
        <v>9</v>
      </c>
      <c r="H31" s="113">
        <v>11</v>
      </c>
      <c r="I31" s="51">
        <v>13</v>
      </c>
      <c r="J31" s="114">
        <v>14</v>
      </c>
      <c r="K31" s="114">
        <v>15</v>
      </c>
      <c r="L31" s="114">
        <v>16</v>
      </c>
      <c r="M31" s="113">
        <v>17</v>
      </c>
      <c r="N31" s="115">
        <v>18</v>
      </c>
    </row>
    <row r="32" spans="1:14" s="226" customFormat="1" x14ac:dyDescent="0.25">
      <c r="A32" s="229">
        <v>1</v>
      </c>
      <c r="B32" s="230" t="s">
        <v>53</v>
      </c>
      <c r="C32" s="229" t="s">
        <v>106</v>
      </c>
      <c r="D32" s="229">
        <v>7.2</v>
      </c>
      <c r="E32" s="117">
        <v>17697</v>
      </c>
      <c r="F32" s="117">
        <f>D32*E32*1.63</f>
        <v>207691.992</v>
      </c>
      <c r="G32" s="231"/>
      <c r="H32" s="117"/>
      <c r="I32" s="117"/>
      <c r="J32" s="117">
        <f>F32+G32+H32+I32</f>
        <v>207691.992</v>
      </c>
      <c r="K32" s="117">
        <f>J32/163.33</f>
        <v>1271.6095757056266</v>
      </c>
      <c r="L32" s="117">
        <v>21.19</v>
      </c>
      <c r="M32" s="117">
        <v>120</v>
      </c>
      <c r="N32" s="219">
        <f>L32*M32</f>
        <v>2542.8000000000002</v>
      </c>
    </row>
    <row r="33" spans="1:14" s="226" customFormat="1" ht="15.75" thickBot="1" x14ac:dyDescent="0.3">
      <c r="A33" s="281">
        <v>2</v>
      </c>
      <c r="B33" s="282" t="s">
        <v>186</v>
      </c>
      <c r="C33" s="281" t="s">
        <v>103</v>
      </c>
      <c r="D33" s="281">
        <v>6.5</v>
      </c>
      <c r="E33" s="283">
        <v>17697</v>
      </c>
      <c r="F33" s="283">
        <f t="shared" ref="F33" si="0">D33*E33</f>
        <v>115030.5</v>
      </c>
      <c r="G33" s="284"/>
      <c r="H33" s="283"/>
      <c r="I33" s="283"/>
      <c r="J33" s="283">
        <f t="shared" ref="J33" si="1">F33+G33+H33+I33</f>
        <v>115030.5</v>
      </c>
      <c r="K33" s="283">
        <f t="shared" ref="K33" si="2">J33/163.33</f>
        <v>704.28274046409103</v>
      </c>
      <c r="L33" s="283">
        <v>11.56</v>
      </c>
      <c r="M33" s="117">
        <v>120</v>
      </c>
      <c r="N33" s="285">
        <f t="shared" ref="N33" si="3">L33*M33</f>
        <v>1387.2</v>
      </c>
    </row>
    <row r="34" spans="1:14" ht="15.75" thickBot="1" x14ac:dyDescent="0.3">
      <c r="A34" s="329" t="s">
        <v>194</v>
      </c>
      <c r="B34" s="330"/>
      <c r="C34" s="330"/>
      <c r="D34" s="330"/>
      <c r="E34" s="331"/>
      <c r="F34" s="239"/>
      <c r="G34" s="239"/>
      <c r="H34" s="239"/>
      <c r="I34" s="239"/>
      <c r="J34" s="239"/>
      <c r="K34" s="239"/>
      <c r="L34" s="239"/>
      <c r="M34" s="239"/>
      <c r="N34" s="269">
        <f>SUM(N32:N33)</f>
        <v>3930</v>
      </c>
    </row>
    <row r="35" spans="1:14" ht="19.5" thickBot="1" x14ac:dyDescent="0.3">
      <c r="A35" s="322" t="s">
        <v>16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</row>
    <row r="36" spans="1:14" ht="77.25" thickBot="1" x14ac:dyDescent="0.3">
      <c r="A36" s="3" t="s">
        <v>7</v>
      </c>
      <c r="B36" s="4" t="s">
        <v>55</v>
      </c>
      <c r="C36" s="5" t="s">
        <v>56</v>
      </c>
      <c r="D36" s="6" t="s">
        <v>57</v>
      </c>
      <c r="E36" s="4" t="s">
        <v>58</v>
      </c>
      <c r="F36" s="7" t="s">
        <v>59</v>
      </c>
      <c r="G36" s="8" t="s">
        <v>60</v>
      </c>
      <c r="H36" s="4" t="s">
        <v>61</v>
      </c>
      <c r="I36" s="4" t="s">
        <v>62</v>
      </c>
      <c r="J36" s="9" t="s">
        <v>63</v>
      </c>
      <c r="K36" s="10" t="s">
        <v>64</v>
      </c>
      <c r="L36" s="11" t="s">
        <v>65</v>
      </c>
    </row>
    <row r="37" spans="1:14" ht="25.5" x14ac:dyDescent="0.25">
      <c r="A37" s="124">
        <v>1</v>
      </c>
      <c r="B37" s="243" t="s">
        <v>314</v>
      </c>
      <c r="C37" s="91">
        <v>1</v>
      </c>
      <c r="D37" s="92">
        <v>2020</v>
      </c>
      <c r="E37" s="93">
        <v>3000000</v>
      </c>
      <c r="F37" s="93">
        <f>E37*0%</f>
        <v>0</v>
      </c>
      <c r="G37" s="136">
        <v>0.1</v>
      </c>
      <c r="H37" s="93">
        <v>1710000</v>
      </c>
      <c r="I37" s="93">
        <f>H37*G37/100</f>
        <v>1710</v>
      </c>
      <c r="J37" s="93">
        <v>86.9</v>
      </c>
      <c r="K37" s="93">
        <v>60</v>
      </c>
      <c r="L37" s="126">
        <f>J37*K37</f>
        <v>5214</v>
      </c>
    </row>
    <row r="38" spans="1:14" x14ac:dyDescent="0.25">
      <c r="E38" s="141"/>
    </row>
    <row r="39" spans="1:14" ht="18.75" x14ac:dyDescent="0.3">
      <c r="B39" s="130"/>
      <c r="C39" s="131"/>
      <c r="D39" s="132"/>
      <c r="E39" s="141"/>
      <c r="G39" s="133"/>
      <c r="H39" s="134"/>
      <c r="J39" s="127"/>
      <c r="K39" s="128"/>
    </row>
    <row r="40" spans="1:14" ht="18.75" x14ac:dyDescent="0.3">
      <c r="B40" s="143" t="s">
        <v>67</v>
      </c>
      <c r="C40" s="143" t="s">
        <v>68</v>
      </c>
      <c r="D40" s="144"/>
      <c r="E40" s="142" t="s">
        <v>316</v>
      </c>
      <c r="F40" s="135"/>
      <c r="G40" s="133"/>
      <c r="H40" s="134"/>
      <c r="J40" s="127"/>
      <c r="K40" s="128"/>
    </row>
    <row r="41" spans="1:14" ht="18.75" x14ac:dyDescent="0.3">
      <c r="B41" s="145"/>
      <c r="C41" s="143"/>
      <c r="D41" s="144"/>
      <c r="E41" s="142"/>
      <c r="F41" s="135"/>
      <c r="G41" s="133"/>
      <c r="H41" s="134"/>
      <c r="J41" s="127"/>
      <c r="K41" s="128"/>
    </row>
    <row r="42" spans="1:14" ht="18.75" x14ac:dyDescent="0.3">
      <c r="B42" s="145" t="s">
        <v>70</v>
      </c>
      <c r="C42" s="143" t="s">
        <v>68</v>
      </c>
      <c r="D42" s="144"/>
      <c r="E42" s="135" t="s">
        <v>71</v>
      </c>
      <c r="F42" s="144"/>
      <c r="G42" s="133"/>
      <c r="H42" s="134"/>
      <c r="J42" s="127"/>
      <c r="K42" s="128"/>
    </row>
    <row r="43" spans="1:14" ht="15.75" x14ac:dyDescent="0.25">
      <c r="B43" s="145"/>
      <c r="C43" s="135"/>
      <c r="D43" s="135"/>
      <c r="E43" s="135"/>
      <c r="F43" s="135"/>
    </row>
    <row r="44" spans="1:14" ht="15.75" x14ac:dyDescent="0.25">
      <c r="B44" s="135"/>
      <c r="C44" s="143"/>
      <c r="D44" s="135"/>
      <c r="E44" s="135"/>
      <c r="F44" s="135"/>
    </row>
    <row r="45" spans="1:14" ht="15.75" x14ac:dyDescent="0.25">
      <c r="B45" s="135"/>
      <c r="C45" s="129"/>
      <c r="D45" s="129"/>
      <c r="E45" s="129"/>
    </row>
  </sheetData>
  <mergeCells count="41">
    <mergeCell ref="M25:M30"/>
    <mergeCell ref="I29:I30"/>
    <mergeCell ref="A25:A30"/>
    <mergeCell ref="A18:N18"/>
    <mergeCell ref="A22:E22"/>
    <mergeCell ref="A23:N23"/>
    <mergeCell ref="E25:E30"/>
    <mergeCell ref="A34:E34"/>
    <mergeCell ref="A35:N35"/>
    <mergeCell ref="N25:N30"/>
    <mergeCell ref="G26:G28"/>
    <mergeCell ref="H26:H28"/>
    <mergeCell ref="I26:I28"/>
    <mergeCell ref="G29:G30"/>
    <mergeCell ref="H29:H30"/>
    <mergeCell ref="F25:F30"/>
    <mergeCell ref="G25:I25"/>
    <mergeCell ref="J25:J30"/>
    <mergeCell ref="K25:K30"/>
    <mergeCell ref="L25:L30"/>
    <mergeCell ref="B25:B30"/>
    <mergeCell ref="C25:C30"/>
    <mergeCell ref="D25:D30"/>
    <mergeCell ref="A9:N9"/>
    <mergeCell ref="A10:N10"/>
    <mergeCell ref="A12:A14"/>
    <mergeCell ref="B12:B14"/>
    <mergeCell ref="C12:H12"/>
    <mergeCell ref="J12:J14"/>
    <mergeCell ref="K12:K14"/>
    <mergeCell ref="L12:L14"/>
    <mergeCell ref="D13:F13"/>
    <mergeCell ref="G13:G14"/>
    <mergeCell ref="H13:H14"/>
    <mergeCell ref="I13:I14"/>
    <mergeCell ref="A8:N8"/>
    <mergeCell ref="H1:N1"/>
    <mergeCell ref="H2:N2"/>
    <mergeCell ref="H3:N3"/>
    <mergeCell ref="H4:N4"/>
    <mergeCell ref="H5:N5"/>
  </mergeCells>
  <pageMargins left="0" right="0" top="0" bottom="0" header="0.31496062992125984" footer="0.31496062992125984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7" workbookViewId="0">
      <selection activeCell="I17" sqref="I17"/>
    </sheetView>
  </sheetViews>
  <sheetFormatPr defaultRowHeight="15" x14ac:dyDescent="0.25"/>
  <cols>
    <col min="2" max="2" width="23.42578125" bestFit="1" customWidth="1"/>
    <col min="3" max="3" width="13.7109375" bestFit="1" customWidth="1"/>
    <col min="4" max="4" width="12" bestFit="1" customWidth="1"/>
    <col min="5" max="5" width="13" customWidth="1"/>
    <col min="6" max="6" width="9.7109375" customWidth="1"/>
    <col min="10" max="10" width="11.5703125" customWidth="1"/>
    <col min="11" max="11" width="13" customWidth="1"/>
    <col min="12" max="12" width="11.7109375" customWidth="1"/>
    <col min="13" max="13" width="20" customWidth="1"/>
  </cols>
  <sheetData>
    <row r="1" spans="1:15" ht="18.75" x14ac:dyDescent="0.3">
      <c r="A1" s="94"/>
      <c r="B1" s="95"/>
      <c r="C1" s="96"/>
      <c r="D1" s="96"/>
      <c r="E1" s="94"/>
      <c r="F1" s="94"/>
      <c r="G1" s="96"/>
      <c r="H1" s="89"/>
      <c r="I1" s="97"/>
      <c r="J1" s="97" t="s">
        <v>0</v>
      </c>
      <c r="K1" s="97"/>
      <c r="L1" s="97"/>
      <c r="M1" s="97"/>
      <c r="N1" s="89"/>
      <c r="O1" s="89"/>
    </row>
    <row r="2" spans="1:15" ht="18.75" x14ac:dyDescent="0.3">
      <c r="A2" s="94"/>
      <c r="B2" s="95"/>
      <c r="C2" s="96"/>
      <c r="D2" s="96"/>
      <c r="E2" s="94"/>
      <c r="F2" s="94"/>
      <c r="G2" s="96"/>
      <c r="H2" s="89"/>
      <c r="I2" s="97"/>
      <c r="J2" s="97"/>
      <c r="K2" s="97"/>
      <c r="L2" s="97"/>
      <c r="M2" s="290" t="s">
        <v>307</v>
      </c>
      <c r="N2" s="89"/>
      <c r="O2" s="89"/>
    </row>
    <row r="3" spans="1:15" ht="18.75" x14ac:dyDescent="0.3">
      <c r="A3" s="94"/>
      <c r="B3" s="95"/>
      <c r="C3" s="96"/>
      <c r="D3" s="96"/>
      <c r="E3" s="94"/>
      <c r="F3" s="94"/>
      <c r="G3" s="96"/>
      <c r="H3" s="89"/>
      <c r="I3" s="97"/>
      <c r="J3" s="97"/>
      <c r="K3" s="97"/>
      <c r="L3" s="97"/>
      <c r="M3" s="290" t="s">
        <v>2</v>
      </c>
      <c r="N3" s="89"/>
      <c r="O3" s="89"/>
    </row>
    <row r="4" spans="1:15" ht="18.75" x14ac:dyDescent="0.3">
      <c r="A4" s="94"/>
      <c r="B4" s="95"/>
      <c r="C4" s="96"/>
      <c r="D4" s="96"/>
      <c r="E4" s="94"/>
      <c r="F4" s="94"/>
      <c r="G4" s="96"/>
      <c r="H4" s="89"/>
      <c r="I4" s="97"/>
      <c r="J4" s="97"/>
      <c r="K4" s="97"/>
      <c r="L4" s="97"/>
      <c r="M4" s="290" t="s">
        <v>3</v>
      </c>
      <c r="N4" s="89"/>
      <c r="O4" s="89"/>
    </row>
    <row r="5" spans="1:15" ht="18.75" x14ac:dyDescent="0.3">
      <c r="A5" s="94"/>
      <c r="B5" s="95"/>
      <c r="C5" s="96"/>
      <c r="D5" s="96"/>
      <c r="E5" s="94"/>
      <c r="F5" s="94"/>
      <c r="G5" s="96"/>
      <c r="H5" s="89"/>
      <c r="I5" s="97"/>
      <c r="J5" s="97"/>
      <c r="K5" s="97"/>
      <c r="L5" s="97"/>
      <c r="M5" s="290" t="s">
        <v>317</v>
      </c>
      <c r="N5" s="89"/>
      <c r="O5" s="89"/>
    </row>
    <row r="6" spans="1:15" ht="18.75" x14ac:dyDescent="0.3">
      <c r="A6" s="346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89"/>
      <c r="O6" s="89"/>
    </row>
    <row r="7" spans="1:15" ht="18.75" x14ac:dyDescent="0.25">
      <c r="A7" s="347" t="s">
        <v>308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89"/>
      <c r="O7" s="89"/>
    </row>
    <row r="8" spans="1:15" ht="18.75" x14ac:dyDescent="0.3">
      <c r="A8" s="346" t="s">
        <v>309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89"/>
      <c r="O8" s="89"/>
    </row>
    <row r="9" spans="1:15" ht="16.5" thickBot="1" x14ac:dyDescent="0.3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166" t="s">
        <v>79</v>
      </c>
      <c r="N9" s="89"/>
      <c r="O9" s="89"/>
    </row>
    <row r="10" spans="1:15" ht="16.5" thickBot="1" x14ac:dyDescent="0.3">
      <c r="A10" s="348" t="s">
        <v>7</v>
      </c>
      <c r="B10" s="348" t="s">
        <v>8</v>
      </c>
      <c r="C10" s="351" t="s">
        <v>9</v>
      </c>
      <c r="D10" s="352"/>
      <c r="E10" s="352"/>
      <c r="F10" s="352"/>
      <c r="G10" s="353"/>
      <c r="H10" s="354"/>
      <c r="I10" s="351" t="s">
        <v>10</v>
      </c>
      <c r="J10" s="354"/>
      <c r="K10" s="348" t="s">
        <v>11</v>
      </c>
      <c r="L10" s="355" t="s">
        <v>12</v>
      </c>
      <c r="M10" s="355" t="s">
        <v>13</v>
      </c>
      <c r="N10" s="89"/>
      <c r="O10" s="89"/>
    </row>
    <row r="11" spans="1:15" ht="48" thickBot="1" x14ac:dyDescent="0.3">
      <c r="A11" s="349"/>
      <c r="B11" s="349"/>
      <c r="C11" s="100" t="s">
        <v>14</v>
      </c>
      <c r="D11" s="360" t="s">
        <v>15</v>
      </c>
      <c r="E11" s="361"/>
      <c r="F11" s="362"/>
      <c r="G11" s="363" t="s">
        <v>16</v>
      </c>
      <c r="H11" s="348" t="s">
        <v>17</v>
      </c>
      <c r="I11" s="348" t="s">
        <v>18</v>
      </c>
      <c r="J11" s="348" t="s">
        <v>19</v>
      </c>
      <c r="K11" s="349"/>
      <c r="L11" s="356"/>
      <c r="M11" s="358"/>
      <c r="N11" s="89"/>
      <c r="O11" s="89"/>
    </row>
    <row r="12" spans="1:15" ht="95.25" thickBot="1" x14ac:dyDescent="0.3">
      <c r="A12" s="350"/>
      <c r="B12" s="350"/>
      <c r="C12" s="101" t="s">
        <v>20</v>
      </c>
      <c r="D12" s="102" t="s">
        <v>21</v>
      </c>
      <c r="E12" s="103" t="s">
        <v>22</v>
      </c>
      <c r="F12" s="103" t="s">
        <v>23</v>
      </c>
      <c r="G12" s="364"/>
      <c r="H12" s="350"/>
      <c r="I12" s="350"/>
      <c r="J12" s="350"/>
      <c r="K12" s="350"/>
      <c r="L12" s="357"/>
      <c r="M12" s="359"/>
      <c r="N12" s="89"/>
      <c r="O12" s="89"/>
    </row>
    <row r="13" spans="1:15" ht="16.5" thickBot="1" x14ac:dyDescent="0.3">
      <c r="A13" s="87">
        <v>1</v>
      </c>
      <c r="B13" s="88">
        <v>2</v>
      </c>
      <c r="C13" s="148">
        <v>3</v>
      </c>
      <c r="D13" s="148">
        <v>4</v>
      </c>
      <c r="E13" s="149">
        <v>5</v>
      </c>
      <c r="F13" s="149">
        <v>6</v>
      </c>
      <c r="G13" s="148">
        <v>6</v>
      </c>
      <c r="H13" s="149">
        <v>7</v>
      </c>
      <c r="I13" s="149">
        <v>8</v>
      </c>
      <c r="J13" s="149">
        <v>9</v>
      </c>
      <c r="K13" s="149">
        <v>10</v>
      </c>
      <c r="L13" s="150">
        <v>11</v>
      </c>
      <c r="M13" s="151">
        <v>12</v>
      </c>
      <c r="N13" s="89"/>
      <c r="O13" s="89"/>
    </row>
    <row r="14" spans="1:15" ht="47.25" x14ac:dyDescent="0.25">
      <c r="A14" s="159">
        <v>1</v>
      </c>
      <c r="B14" s="161" t="s">
        <v>280</v>
      </c>
      <c r="C14" s="152">
        <f>F18</f>
        <v>728</v>
      </c>
      <c r="D14" s="152">
        <f>O36</f>
        <v>5841.5957196779527</v>
      </c>
      <c r="E14" s="152">
        <f>D14*11%</f>
        <v>642.57552916457485</v>
      </c>
      <c r="F14" s="152"/>
      <c r="G14" s="152">
        <f>L39</f>
        <v>0</v>
      </c>
      <c r="H14" s="152">
        <f>C14+D14+E14+G14</f>
        <v>7212.1712488425273</v>
      </c>
      <c r="I14" s="153">
        <f>Смета!E21</f>
        <v>0.10000021516836566</v>
      </c>
      <c r="J14" s="152">
        <f>D14*I14</f>
        <v>584.16082889439906</v>
      </c>
      <c r="K14" s="152">
        <f>H14+J14</f>
        <v>7796.3320777369263</v>
      </c>
      <c r="L14" s="154">
        <f>(K14*30%)</f>
        <v>2338.8996233210778</v>
      </c>
      <c r="M14" s="163">
        <f>K14+L14</f>
        <v>10135.231701058005</v>
      </c>
      <c r="N14" s="89"/>
      <c r="O14" s="89"/>
    </row>
    <row r="15" spans="1:15" x14ac:dyDescent="0.25">
      <c r="A15" s="107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90"/>
      <c r="M15" s="90"/>
      <c r="N15" s="89"/>
      <c r="O15" s="89"/>
    </row>
    <row r="16" spans="1:15" ht="19.5" thickBot="1" x14ac:dyDescent="0.3">
      <c r="A16" s="369" t="s">
        <v>281</v>
      </c>
      <c r="B16" s="369"/>
      <c r="C16" s="369"/>
      <c r="D16" s="369"/>
      <c r="E16" s="369"/>
      <c r="F16" s="369"/>
      <c r="G16" s="167"/>
      <c r="H16" s="167"/>
      <c r="I16" s="167"/>
      <c r="J16" s="167"/>
      <c r="K16" s="167"/>
      <c r="L16" s="167"/>
      <c r="M16" s="167"/>
      <c r="N16" s="89"/>
      <c r="O16" s="89"/>
    </row>
    <row r="17" spans="1:15" ht="51" x14ac:dyDescent="0.25">
      <c r="A17" s="155" t="s">
        <v>7</v>
      </c>
      <c r="B17" s="156" t="s">
        <v>27</v>
      </c>
      <c r="C17" s="156" t="s">
        <v>94</v>
      </c>
      <c r="D17" s="156" t="s">
        <v>29</v>
      </c>
      <c r="E17" s="157" t="s">
        <v>95</v>
      </c>
      <c r="F17" s="156" t="s">
        <v>31</v>
      </c>
      <c r="G17" s="89"/>
      <c r="H17" s="89"/>
      <c r="I17" s="89"/>
      <c r="J17" s="89"/>
      <c r="K17" s="89"/>
      <c r="L17" s="89"/>
      <c r="M17" s="89"/>
      <c r="N17" s="89"/>
      <c r="O17" s="89"/>
    </row>
    <row r="18" spans="1:15" ht="38.25" x14ac:dyDescent="0.25">
      <c r="A18" s="137">
        <v>1</v>
      </c>
      <c r="B18" s="137" t="s">
        <v>96</v>
      </c>
      <c r="C18" s="138">
        <v>5</v>
      </c>
      <c r="D18" s="139">
        <v>72800</v>
      </c>
      <c r="E18" s="140">
        <v>1</v>
      </c>
      <c r="F18" s="139">
        <f>(D18/100)*E18</f>
        <v>728</v>
      </c>
      <c r="G18" s="110"/>
      <c r="H18" s="89"/>
      <c r="I18" s="89"/>
      <c r="J18" s="89"/>
      <c r="K18" s="89"/>
      <c r="L18" s="89"/>
      <c r="M18" s="89"/>
      <c r="N18" s="89"/>
      <c r="O18" s="89"/>
    </row>
    <row r="19" spans="1:15" x14ac:dyDescent="0.25">
      <c r="A19" s="246"/>
      <c r="B19" s="246"/>
      <c r="C19" s="206"/>
      <c r="D19" s="247"/>
      <c r="E19" s="248"/>
      <c r="F19" s="247"/>
      <c r="G19" s="110"/>
      <c r="H19" s="89"/>
      <c r="I19" s="89"/>
      <c r="J19" s="89"/>
      <c r="K19" s="89"/>
      <c r="L19" s="89"/>
      <c r="M19" s="89"/>
      <c r="N19" s="89"/>
      <c r="O19" s="89"/>
    </row>
    <row r="20" spans="1:15" ht="19.5" thickBot="1" x14ac:dyDescent="0.3">
      <c r="A20" s="368" t="s">
        <v>37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89"/>
      <c r="O20" s="89"/>
    </row>
    <row r="21" spans="1:15" x14ac:dyDescent="0.25">
      <c r="A21" s="319" t="s">
        <v>7</v>
      </c>
      <c r="B21" s="319" t="s">
        <v>39</v>
      </c>
      <c r="C21" s="337" t="s">
        <v>40</v>
      </c>
      <c r="D21" s="337" t="s">
        <v>41</v>
      </c>
      <c r="E21" s="337" t="s">
        <v>42</v>
      </c>
      <c r="F21" s="319" t="s">
        <v>43</v>
      </c>
      <c r="G21" s="373" t="s">
        <v>306</v>
      </c>
      <c r="H21" s="397">
        <v>0.1</v>
      </c>
      <c r="I21" s="373" t="s">
        <v>50</v>
      </c>
      <c r="J21" s="315"/>
      <c r="K21" s="315" t="s">
        <v>44</v>
      </c>
      <c r="L21" s="319" t="s">
        <v>45</v>
      </c>
      <c r="M21" s="319" t="s">
        <v>46</v>
      </c>
      <c r="N21" s="373" t="s">
        <v>47</v>
      </c>
      <c r="O21" s="365" t="s">
        <v>48</v>
      </c>
    </row>
    <row r="22" spans="1:15" x14ac:dyDescent="0.25">
      <c r="A22" s="320"/>
      <c r="B22" s="320"/>
      <c r="C22" s="338"/>
      <c r="D22" s="338"/>
      <c r="E22" s="338"/>
      <c r="F22" s="320"/>
      <c r="G22" s="374"/>
      <c r="H22" s="398"/>
      <c r="I22" s="374"/>
      <c r="J22" s="316"/>
      <c r="K22" s="316"/>
      <c r="L22" s="320"/>
      <c r="M22" s="320"/>
      <c r="N22" s="374"/>
      <c r="O22" s="366"/>
    </row>
    <row r="23" spans="1:15" x14ac:dyDescent="0.25">
      <c r="A23" s="320"/>
      <c r="B23" s="320"/>
      <c r="C23" s="338"/>
      <c r="D23" s="338"/>
      <c r="E23" s="338"/>
      <c r="F23" s="320"/>
      <c r="G23" s="374"/>
      <c r="H23" s="398"/>
      <c r="I23" s="374"/>
      <c r="J23" s="316"/>
      <c r="K23" s="316"/>
      <c r="L23" s="320"/>
      <c r="M23" s="320"/>
      <c r="N23" s="374"/>
      <c r="O23" s="366"/>
    </row>
    <row r="24" spans="1:15" ht="15.75" thickBot="1" x14ac:dyDescent="0.3">
      <c r="A24" s="320"/>
      <c r="B24" s="320"/>
      <c r="C24" s="338"/>
      <c r="D24" s="338"/>
      <c r="E24" s="338"/>
      <c r="F24" s="320"/>
      <c r="G24" s="374"/>
      <c r="H24" s="398"/>
      <c r="I24" s="375"/>
      <c r="J24" s="317"/>
      <c r="K24" s="316"/>
      <c r="L24" s="320"/>
      <c r="M24" s="320"/>
      <c r="N24" s="374"/>
      <c r="O24" s="366"/>
    </row>
    <row r="25" spans="1:15" x14ac:dyDescent="0.25">
      <c r="A25" s="320"/>
      <c r="B25" s="320"/>
      <c r="C25" s="338"/>
      <c r="D25" s="338"/>
      <c r="E25" s="338"/>
      <c r="F25" s="320"/>
      <c r="G25" s="374"/>
      <c r="H25" s="398"/>
      <c r="I25" s="343" t="s">
        <v>52</v>
      </c>
      <c r="J25" s="333" t="s">
        <v>19</v>
      </c>
      <c r="K25" s="316"/>
      <c r="L25" s="320"/>
      <c r="M25" s="320"/>
      <c r="N25" s="374"/>
      <c r="O25" s="366"/>
    </row>
    <row r="26" spans="1:15" ht="15.75" thickBot="1" x14ac:dyDescent="0.3">
      <c r="A26" s="321"/>
      <c r="B26" s="321"/>
      <c r="C26" s="339"/>
      <c r="D26" s="339"/>
      <c r="E26" s="339"/>
      <c r="F26" s="321"/>
      <c r="G26" s="375"/>
      <c r="H26" s="399"/>
      <c r="I26" s="344"/>
      <c r="J26" s="334"/>
      <c r="K26" s="317"/>
      <c r="L26" s="321"/>
      <c r="M26" s="321"/>
      <c r="N26" s="375"/>
      <c r="O26" s="367"/>
    </row>
    <row r="27" spans="1:15" x14ac:dyDescent="0.25">
      <c r="A27" s="111">
        <v>1</v>
      </c>
      <c r="B27" s="112">
        <v>2</v>
      </c>
      <c r="C27" s="113">
        <v>3</v>
      </c>
      <c r="D27" s="113">
        <v>4</v>
      </c>
      <c r="E27" s="113">
        <v>5</v>
      </c>
      <c r="F27" s="113">
        <v>6</v>
      </c>
      <c r="G27" s="113"/>
      <c r="H27" s="113"/>
      <c r="I27" s="113">
        <v>10</v>
      </c>
      <c r="J27" s="113">
        <v>11</v>
      </c>
      <c r="K27" s="114">
        <v>14</v>
      </c>
      <c r="L27" s="114">
        <v>15</v>
      </c>
      <c r="M27" s="114">
        <v>16</v>
      </c>
      <c r="N27" s="113">
        <v>17</v>
      </c>
      <c r="O27" s="115">
        <v>18</v>
      </c>
    </row>
    <row r="28" spans="1:15" x14ac:dyDescent="0.25">
      <c r="A28" s="376" t="s">
        <v>284</v>
      </c>
      <c r="B28" s="377"/>
      <c r="C28" s="113"/>
      <c r="D28" s="113"/>
      <c r="E28" s="113"/>
      <c r="F28" s="113"/>
      <c r="G28" s="113"/>
      <c r="H28" s="113"/>
      <c r="I28" s="113"/>
      <c r="J28" s="113"/>
      <c r="K28" s="114"/>
      <c r="L28" s="114"/>
      <c r="M28" s="114"/>
      <c r="N28" s="113"/>
      <c r="O28" s="115"/>
    </row>
    <row r="29" spans="1:15" x14ac:dyDescent="0.25">
      <c r="A29" s="272">
        <v>1</v>
      </c>
      <c r="B29" s="273" t="s">
        <v>73</v>
      </c>
      <c r="C29" s="229" t="s">
        <v>103</v>
      </c>
      <c r="D29" s="229">
        <v>4.7699999999999996</v>
      </c>
      <c r="E29" s="117">
        <v>17697</v>
      </c>
      <c r="F29" s="117">
        <f>D29*E29</f>
        <v>84414.689999999988</v>
      </c>
      <c r="G29" s="117">
        <f>F29*3.42</f>
        <v>288698.23979999998</v>
      </c>
      <c r="H29" s="117">
        <f>G29*10%</f>
        <v>28869.823980000001</v>
      </c>
      <c r="I29" s="158">
        <v>1.5</v>
      </c>
      <c r="J29" s="117">
        <f t="shared" ref="J29:J35" si="0">E29*I29</f>
        <v>26545.5</v>
      </c>
      <c r="K29" s="117">
        <f>G29+H29+J29</f>
        <v>344113.56377999997</v>
      </c>
      <c r="L29" s="117">
        <f>K29/163.33</f>
        <v>2106.8607345864198</v>
      </c>
      <c r="M29" s="117">
        <f>L29/60</f>
        <v>35.114345576440329</v>
      </c>
      <c r="N29" s="117">
        <v>15</v>
      </c>
      <c r="O29" s="118">
        <f>M29*N29</f>
        <v>526.71518364660494</v>
      </c>
    </row>
    <row r="30" spans="1:15" x14ac:dyDescent="0.25">
      <c r="A30" s="274">
        <v>2</v>
      </c>
      <c r="B30" s="273" t="s">
        <v>77</v>
      </c>
      <c r="C30" s="234" t="s">
        <v>105</v>
      </c>
      <c r="D30" s="234">
        <v>5.83</v>
      </c>
      <c r="E30" s="117">
        <v>17697</v>
      </c>
      <c r="F30" s="117">
        <f t="shared" ref="F30:F35" si="1">D30*E30</f>
        <v>103173.51</v>
      </c>
      <c r="G30" s="117">
        <f t="shared" ref="G30:G35" si="2">F30*3.42</f>
        <v>352853.40419999999</v>
      </c>
      <c r="H30" s="117">
        <f t="shared" ref="H30:H35" si="3">G30*10%</f>
        <v>35285.34042</v>
      </c>
      <c r="I30" s="158">
        <v>1.5</v>
      </c>
      <c r="J30" s="117">
        <f t="shared" si="0"/>
        <v>26545.5</v>
      </c>
      <c r="K30" s="117">
        <f t="shared" ref="K30:K35" si="4">G30+H30+J30</f>
        <v>414684.24462000001</v>
      </c>
      <c r="L30" s="117">
        <f t="shared" ref="L30" si="5">K30/163.33</f>
        <v>2538.9349453254149</v>
      </c>
      <c r="M30" s="117">
        <f t="shared" ref="M30" si="6">L30/60</f>
        <v>42.315582422090252</v>
      </c>
      <c r="N30" s="117">
        <v>45</v>
      </c>
      <c r="O30" s="118">
        <f t="shared" ref="O30" si="7">M30*N30</f>
        <v>1904.2012089940613</v>
      </c>
    </row>
    <row r="31" spans="1:15" x14ac:dyDescent="0.25">
      <c r="A31" s="272">
        <v>3</v>
      </c>
      <c r="B31" s="273" t="s">
        <v>74</v>
      </c>
      <c r="C31" s="234" t="s">
        <v>105</v>
      </c>
      <c r="D31" s="229">
        <v>5.83</v>
      </c>
      <c r="E31" s="117">
        <v>17697</v>
      </c>
      <c r="F31" s="117">
        <f t="shared" si="1"/>
        <v>103173.51</v>
      </c>
      <c r="G31" s="117">
        <f t="shared" si="2"/>
        <v>352853.40419999999</v>
      </c>
      <c r="H31" s="117">
        <f t="shared" si="3"/>
        <v>35285.34042</v>
      </c>
      <c r="I31" s="158">
        <v>1.5</v>
      </c>
      <c r="J31" s="117">
        <f t="shared" si="0"/>
        <v>26545.5</v>
      </c>
      <c r="K31" s="117">
        <f t="shared" si="4"/>
        <v>414684.24462000001</v>
      </c>
      <c r="L31" s="117">
        <f>K31/163.33</f>
        <v>2538.9349453254149</v>
      </c>
      <c r="M31" s="117">
        <f>L31/60</f>
        <v>42.315582422090252</v>
      </c>
      <c r="N31" s="117">
        <v>45</v>
      </c>
      <c r="O31" s="118">
        <f>M31*N31</f>
        <v>1904.2012089940613</v>
      </c>
    </row>
    <row r="32" spans="1:15" x14ac:dyDescent="0.25">
      <c r="A32" s="146">
        <v>4</v>
      </c>
      <c r="B32" s="177" t="s">
        <v>97</v>
      </c>
      <c r="C32" s="147" t="s">
        <v>106</v>
      </c>
      <c r="D32" s="113">
        <v>3.49</v>
      </c>
      <c r="E32" s="117">
        <v>17697</v>
      </c>
      <c r="F32" s="117">
        <f t="shared" si="1"/>
        <v>61762.530000000006</v>
      </c>
      <c r="G32" s="117">
        <f t="shared" si="2"/>
        <v>211227.85260000001</v>
      </c>
      <c r="H32" s="117">
        <f t="shared" si="3"/>
        <v>21122.785260000004</v>
      </c>
      <c r="I32" s="158">
        <v>1</v>
      </c>
      <c r="J32" s="117">
        <f t="shared" si="0"/>
        <v>17697</v>
      </c>
      <c r="K32" s="117">
        <f t="shared" si="4"/>
        <v>250047.63786000002</v>
      </c>
      <c r="L32" s="117">
        <f t="shared" ref="L32:L35" si="8">K32/163.33</f>
        <v>1530.9351488397722</v>
      </c>
      <c r="M32" s="117">
        <f t="shared" ref="M32:M35" si="9">L32/60</f>
        <v>25.515585813996204</v>
      </c>
      <c r="N32" s="117">
        <v>15</v>
      </c>
      <c r="O32" s="118">
        <f t="shared" ref="O32:O35" si="10">M32*N32</f>
        <v>382.73378720994305</v>
      </c>
    </row>
    <row r="33" spans="1:15" ht="26.25" x14ac:dyDescent="0.25">
      <c r="A33" s="111">
        <v>5</v>
      </c>
      <c r="B33" s="177" t="s">
        <v>99</v>
      </c>
      <c r="C33" s="147" t="s">
        <v>104</v>
      </c>
      <c r="D33" s="113">
        <v>3.41</v>
      </c>
      <c r="E33" s="117">
        <v>17697</v>
      </c>
      <c r="F33" s="117">
        <f t="shared" si="1"/>
        <v>60346.770000000004</v>
      </c>
      <c r="G33" s="117">
        <f t="shared" si="2"/>
        <v>206385.9534</v>
      </c>
      <c r="H33" s="117">
        <f t="shared" si="3"/>
        <v>20638.59534</v>
      </c>
      <c r="I33" s="158">
        <v>1</v>
      </c>
      <c r="J33" s="117">
        <f t="shared" si="0"/>
        <v>17697</v>
      </c>
      <c r="K33" s="117">
        <f t="shared" si="4"/>
        <v>244721.54874</v>
      </c>
      <c r="L33" s="117">
        <f t="shared" si="8"/>
        <v>1498.3257744443763</v>
      </c>
      <c r="M33" s="117">
        <f t="shared" si="9"/>
        <v>24.972096240739607</v>
      </c>
      <c r="N33" s="117">
        <v>45</v>
      </c>
      <c r="O33" s="118">
        <f t="shared" si="10"/>
        <v>1123.7443308332822</v>
      </c>
    </row>
    <row r="34" spans="1:15" x14ac:dyDescent="0.25">
      <c r="A34" s="111">
        <v>6</v>
      </c>
      <c r="B34" s="177" t="s">
        <v>283</v>
      </c>
      <c r="C34" s="147" t="s">
        <v>104</v>
      </c>
      <c r="D34" s="113">
        <v>3.73</v>
      </c>
      <c r="E34" s="117">
        <v>17697</v>
      </c>
      <c r="F34" s="117">
        <f t="shared" si="1"/>
        <v>66009.81</v>
      </c>
      <c r="G34" s="117">
        <f t="shared" si="2"/>
        <v>225753.5502</v>
      </c>
      <c r="H34" s="117">
        <f t="shared" si="3"/>
        <v>22575.355020000003</v>
      </c>
      <c r="I34" s="158">
        <v>1</v>
      </c>
      <c r="J34" s="117">
        <f t="shared" si="0"/>
        <v>17697</v>
      </c>
      <c r="K34" s="117">
        <f t="shared" si="4"/>
        <v>266025.90522000002</v>
      </c>
      <c r="L34" s="117">
        <f t="shared" si="8"/>
        <v>1628.7632720259596</v>
      </c>
      <c r="M34" s="117">
        <f t="shared" si="9"/>
        <v>27.146054533765994</v>
      </c>
      <c r="N34" s="117">
        <v>30</v>
      </c>
      <c r="O34" s="118">
        <f t="shared" si="10"/>
        <v>814.38163601297981</v>
      </c>
    </row>
    <row r="35" spans="1:15" x14ac:dyDescent="0.25">
      <c r="A35" s="146">
        <v>7</v>
      </c>
      <c r="B35" s="177" t="s">
        <v>101</v>
      </c>
      <c r="C35" s="147">
        <v>4</v>
      </c>
      <c r="D35" s="113">
        <v>2.89</v>
      </c>
      <c r="E35" s="117">
        <v>17697</v>
      </c>
      <c r="F35" s="117">
        <f t="shared" si="1"/>
        <v>51144.33</v>
      </c>
      <c r="G35" s="117">
        <f t="shared" si="2"/>
        <v>174913.60860000001</v>
      </c>
      <c r="H35" s="117">
        <f t="shared" si="3"/>
        <v>17491.360860000001</v>
      </c>
      <c r="I35" s="158"/>
      <c r="J35" s="117">
        <f t="shared" si="0"/>
        <v>0</v>
      </c>
      <c r="K35" s="117">
        <f t="shared" si="4"/>
        <v>192404.96945999999</v>
      </c>
      <c r="L35" s="117">
        <f t="shared" si="8"/>
        <v>1178.0136500336739</v>
      </c>
      <c r="M35" s="117">
        <f t="shared" si="9"/>
        <v>19.633560833894567</v>
      </c>
      <c r="N35" s="117">
        <v>15</v>
      </c>
      <c r="O35" s="118">
        <f t="shared" si="10"/>
        <v>294.50341250841848</v>
      </c>
    </row>
    <row r="36" spans="1:15" ht="15.75" thickBot="1" x14ac:dyDescent="0.3">
      <c r="A36" s="119"/>
      <c r="B36" s="120" t="s">
        <v>54</v>
      </c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>
        <f>SUM(O29:O33)</f>
        <v>5841.5957196779527</v>
      </c>
    </row>
    <row r="37" spans="1:15" ht="19.5" thickBot="1" x14ac:dyDescent="0.3">
      <c r="A37" s="370" t="s">
        <v>16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2"/>
      <c r="M37" s="167"/>
      <c r="N37" s="89"/>
      <c r="O37" s="89"/>
    </row>
    <row r="38" spans="1:15" ht="90" thickBot="1" x14ac:dyDescent="0.3">
      <c r="A38" s="168" t="s">
        <v>7</v>
      </c>
      <c r="B38" s="169" t="s">
        <v>55</v>
      </c>
      <c r="C38" s="170" t="s">
        <v>56</v>
      </c>
      <c r="D38" s="171" t="s">
        <v>57</v>
      </c>
      <c r="E38" s="169" t="s">
        <v>58</v>
      </c>
      <c r="F38" s="172" t="s">
        <v>59</v>
      </c>
      <c r="G38" s="173" t="s">
        <v>60</v>
      </c>
      <c r="H38" s="169" t="s">
        <v>61</v>
      </c>
      <c r="I38" s="169" t="s">
        <v>62</v>
      </c>
      <c r="J38" s="174" t="s">
        <v>63</v>
      </c>
      <c r="K38" s="175" t="s">
        <v>64</v>
      </c>
      <c r="L38" s="176" t="s">
        <v>65</v>
      </c>
      <c r="M38" s="89"/>
      <c r="N38" s="89"/>
      <c r="O38" s="89"/>
    </row>
    <row r="39" spans="1:15" ht="38.25" x14ac:dyDescent="0.25">
      <c r="A39" s="124">
        <v>1</v>
      </c>
      <c r="B39" s="165" t="s">
        <v>78</v>
      </c>
      <c r="C39" s="91">
        <v>1</v>
      </c>
      <c r="D39" s="92">
        <v>2008</v>
      </c>
      <c r="E39" s="93">
        <v>13780000</v>
      </c>
      <c r="F39" s="93">
        <f>E39*100%</f>
        <v>13780000</v>
      </c>
      <c r="G39" s="136">
        <v>0.1</v>
      </c>
      <c r="H39" s="93">
        <f>E39-F39</f>
        <v>0</v>
      </c>
      <c r="I39" s="93">
        <f>H39*G39/100</f>
        <v>0</v>
      </c>
      <c r="J39" s="93">
        <f>I39/1968</f>
        <v>0</v>
      </c>
      <c r="K39" s="93">
        <v>15</v>
      </c>
      <c r="L39" s="126">
        <f>J39*K39</f>
        <v>0</v>
      </c>
      <c r="M39" s="89"/>
      <c r="N39" s="89"/>
      <c r="O39" s="89"/>
    </row>
    <row r="40" spans="1:15" x14ac:dyDescent="0.25">
      <c r="A40" s="89"/>
      <c r="B40" s="89"/>
      <c r="C40" s="89"/>
      <c r="D40" s="89"/>
      <c r="E40" s="141"/>
      <c r="F40" s="89"/>
      <c r="G40" s="89"/>
      <c r="H40" s="89"/>
      <c r="I40" s="89"/>
      <c r="J40" s="89"/>
      <c r="K40" s="89"/>
      <c r="L40" s="89"/>
      <c r="M40" s="89"/>
      <c r="N40" s="89"/>
      <c r="O40" s="89"/>
    </row>
    <row r="41" spans="1:15" ht="18.75" x14ac:dyDescent="0.3">
      <c r="A41" s="89"/>
      <c r="B41" s="130"/>
      <c r="C41" s="131"/>
      <c r="D41" s="132"/>
      <c r="E41" s="141"/>
      <c r="F41" s="89"/>
      <c r="G41" s="133"/>
      <c r="H41" s="134"/>
      <c r="I41" s="89"/>
      <c r="J41" s="127"/>
      <c r="K41" s="128"/>
      <c r="L41" s="89"/>
      <c r="M41" s="89"/>
      <c r="N41" s="89"/>
      <c r="O41" s="89"/>
    </row>
    <row r="42" spans="1:15" ht="18.75" x14ac:dyDescent="0.3">
      <c r="A42" s="89"/>
      <c r="B42" s="143" t="s">
        <v>67</v>
      </c>
      <c r="C42" s="143" t="s">
        <v>68</v>
      </c>
      <c r="D42" s="144"/>
      <c r="E42" s="142" t="s">
        <v>316</v>
      </c>
      <c r="F42" s="135"/>
      <c r="G42" s="133"/>
      <c r="H42" s="134"/>
      <c r="I42" s="89"/>
      <c r="J42" s="127"/>
      <c r="K42" s="128"/>
      <c r="L42" s="89"/>
      <c r="M42" s="89"/>
      <c r="N42" s="89"/>
      <c r="O42" s="89"/>
    </row>
    <row r="43" spans="1:15" ht="18.75" x14ac:dyDescent="0.3">
      <c r="A43" s="89"/>
      <c r="B43" s="145"/>
      <c r="C43" s="143"/>
      <c r="D43" s="144"/>
      <c r="E43" s="142"/>
      <c r="F43" s="135"/>
      <c r="G43" s="133"/>
      <c r="H43" s="134"/>
      <c r="I43" s="89"/>
      <c r="J43" s="127"/>
      <c r="K43" s="128"/>
      <c r="L43" s="89"/>
      <c r="M43" s="89"/>
      <c r="N43" s="89"/>
      <c r="O43" s="89"/>
    </row>
    <row r="44" spans="1:15" ht="18.75" x14ac:dyDescent="0.3">
      <c r="A44" s="89"/>
      <c r="B44" s="145" t="s">
        <v>70</v>
      </c>
      <c r="C44" s="143" t="s">
        <v>68</v>
      </c>
      <c r="D44" s="144"/>
      <c r="E44" s="135" t="s">
        <v>322</v>
      </c>
      <c r="F44" s="144"/>
      <c r="G44" s="133"/>
      <c r="H44" s="134"/>
      <c r="I44" s="89"/>
      <c r="J44" s="127"/>
      <c r="K44" s="128"/>
      <c r="L44" s="89"/>
      <c r="M44" s="89"/>
      <c r="N44" s="89"/>
      <c r="O44" s="89"/>
    </row>
    <row r="45" spans="1:15" ht="15.75" x14ac:dyDescent="0.25">
      <c r="A45" s="89"/>
      <c r="B45" s="145"/>
      <c r="C45" s="135"/>
      <c r="D45" s="135"/>
      <c r="E45" s="135"/>
      <c r="F45" s="135"/>
      <c r="G45" s="89"/>
      <c r="H45" s="89"/>
      <c r="I45" s="89"/>
      <c r="J45" s="89"/>
      <c r="K45" s="89"/>
      <c r="L45" s="89"/>
      <c r="M45" s="89"/>
      <c r="N45" s="89"/>
      <c r="O45" s="89"/>
    </row>
  </sheetData>
  <mergeCells count="35">
    <mergeCell ref="A16:F16"/>
    <mergeCell ref="A6:M6"/>
    <mergeCell ref="A7:M7"/>
    <mergeCell ref="A8:M8"/>
    <mergeCell ref="A10:A12"/>
    <mergeCell ref="B10:B12"/>
    <mergeCell ref="C10:H10"/>
    <mergeCell ref="I10:J10"/>
    <mergeCell ref="K10:K12"/>
    <mergeCell ref="L10:L12"/>
    <mergeCell ref="M10:M12"/>
    <mergeCell ref="D11:F11"/>
    <mergeCell ref="G11:G12"/>
    <mergeCell ref="H11:H12"/>
    <mergeCell ref="I11:I12"/>
    <mergeCell ref="J11:J12"/>
    <mergeCell ref="N21:N26"/>
    <mergeCell ref="O21:O26"/>
    <mergeCell ref="I25:I26"/>
    <mergeCell ref="J25:J26"/>
    <mergeCell ref="A20:M20"/>
    <mergeCell ref="A21:A26"/>
    <mergeCell ref="B21:B26"/>
    <mergeCell ref="C21:C26"/>
    <mergeCell ref="D21:D26"/>
    <mergeCell ref="E21:E26"/>
    <mergeCell ref="F21:F26"/>
    <mergeCell ref="G21:G26"/>
    <mergeCell ref="H21:H26"/>
    <mergeCell ref="I21:J24"/>
    <mergeCell ref="A28:B28"/>
    <mergeCell ref="A37:L37"/>
    <mergeCell ref="K21:K26"/>
    <mergeCell ref="L21:L26"/>
    <mergeCell ref="M21:M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A22" workbookViewId="0">
      <selection sqref="A1:N44"/>
    </sheetView>
  </sheetViews>
  <sheetFormatPr defaultRowHeight="15" x14ac:dyDescent="0.25"/>
  <cols>
    <col min="2" max="2" width="26" customWidth="1"/>
    <col min="3" max="3" width="10.85546875" customWidth="1"/>
    <col min="4" max="4" width="11.42578125" customWidth="1"/>
    <col min="5" max="5" width="13.5703125" customWidth="1"/>
    <col min="6" max="6" width="10.85546875" customWidth="1"/>
    <col min="8" max="8" width="17.7109375" bestFit="1" customWidth="1"/>
    <col min="9" max="9" width="10.140625" customWidth="1"/>
    <col min="10" max="10" width="13" customWidth="1"/>
    <col min="11" max="11" width="11.85546875" customWidth="1"/>
    <col min="12" max="12" width="11.7109375" customWidth="1"/>
  </cols>
  <sheetData>
    <row r="1" spans="1:14" ht="18.75" x14ac:dyDescent="0.3">
      <c r="A1" s="94"/>
      <c r="B1" s="95"/>
      <c r="C1" s="96"/>
      <c r="D1" s="96"/>
      <c r="E1" s="94"/>
      <c r="F1" s="94"/>
      <c r="G1" s="96"/>
      <c r="H1" s="392" t="s">
        <v>0</v>
      </c>
      <c r="I1" s="392"/>
      <c r="J1" s="392"/>
      <c r="K1" s="392"/>
      <c r="L1" s="392"/>
      <c r="M1" s="392"/>
      <c r="N1" s="392"/>
    </row>
    <row r="2" spans="1:14" ht="18.75" x14ac:dyDescent="0.3">
      <c r="A2" s="94"/>
      <c r="B2" s="95"/>
      <c r="C2" s="96"/>
      <c r="D2" s="96"/>
      <c r="E2" s="94"/>
      <c r="F2" s="94"/>
      <c r="G2" s="96"/>
      <c r="H2" s="392" t="s">
        <v>1</v>
      </c>
      <c r="I2" s="392"/>
      <c r="J2" s="392"/>
      <c r="K2" s="392"/>
      <c r="L2" s="392"/>
      <c r="M2" s="392"/>
      <c r="N2" s="392"/>
    </row>
    <row r="3" spans="1:14" ht="27.75" customHeight="1" x14ac:dyDescent="0.3">
      <c r="A3" s="94"/>
      <c r="B3" s="95"/>
      <c r="C3" s="96"/>
      <c r="D3" s="96"/>
      <c r="E3" s="94"/>
      <c r="F3" s="94"/>
      <c r="G3" s="96"/>
      <c r="H3" s="392" t="s">
        <v>2</v>
      </c>
      <c r="I3" s="392"/>
      <c r="J3" s="392"/>
      <c r="K3" s="392"/>
      <c r="L3" s="392"/>
      <c r="M3" s="392"/>
      <c r="N3" s="392"/>
    </row>
    <row r="4" spans="1:14" ht="30.75" customHeight="1" x14ac:dyDescent="0.3">
      <c r="A4" s="94"/>
      <c r="B4" s="95"/>
      <c r="C4" s="96"/>
      <c r="D4" s="96"/>
      <c r="E4" s="94"/>
      <c r="F4" s="94"/>
      <c r="G4" s="96"/>
      <c r="H4" s="392" t="s">
        <v>3</v>
      </c>
      <c r="I4" s="392"/>
      <c r="J4" s="392"/>
      <c r="K4" s="392"/>
      <c r="L4" s="392"/>
      <c r="M4" s="392"/>
      <c r="N4" s="392"/>
    </row>
    <row r="5" spans="1:14" ht="22.5" customHeight="1" x14ac:dyDescent="0.3">
      <c r="A5" s="94"/>
      <c r="B5" s="95"/>
      <c r="C5" s="96"/>
      <c r="D5" s="96"/>
      <c r="E5" s="94"/>
      <c r="F5" s="94"/>
      <c r="G5" s="96"/>
      <c r="H5" s="392" t="s">
        <v>317</v>
      </c>
      <c r="I5" s="392"/>
      <c r="J5" s="392"/>
      <c r="K5" s="392"/>
      <c r="L5" s="392"/>
      <c r="M5" s="392"/>
      <c r="N5" s="392"/>
    </row>
    <row r="6" spans="1:14" ht="18.75" x14ac:dyDescent="0.3">
      <c r="A6" s="94"/>
      <c r="B6" s="95"/>
      <c r="C6" s="96"/>
      <c r="D6" s="96"/>
      <c r="E6" s="94"/>
      <c r="F6" s="94"/>
      <c r="G6" s="96"/>
      <c r="H6" s="94"/>
      <c r="I6" s="287"/>
      <c r="J6" s="287"/>
      <c r="K6" s="287"/>
      <c r="L6" s="90"/>
      <c r="M6" s="97"/>
      <c r="N6" s="97"/>
    </row>
    <row r="7" spans="1:14" ht="18.75" customHeight="1" x14ac:dyDescent="0.3">
      <c r="A7" s="94"/>
      <c r="B7" s="95"/>
      <c r="C7" s="96"/>
      <c r="D7" s="96"/>
      <c r="E7" s="94"/>
      <c r="F7" s="94"/>
      <c r="G7" s="96"/>
      <c r="H7" s="94"/>
      <c r="I7" s="287"/>
      <c r="J7" s="287"/>
      <c r="K7" s="287"/>
      <c r="L7" s="90"/>
      <c r="M7" s="97"/>
      <c r="N7" s="97"/>
    </row>
    <row r="8" spans="1:14" ht="18.75" x14ac:dyDescent="0.3">
      <c r="A8" s="346" t="s">
        <v>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18.75" x14ac:dyDescent="0.25">
      <c r="A9" s="347" t="s">
        <v>72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</row>
    <row r="10" spans="1:14" ht="16.5" customHeight="1" x14ac:dyDescent="0.3">
      <c r="A10" s="346" t="s">
        <v>305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s="89" customFormat="1" ht="16.5" customHeight="1" x14ac:dyDescent="0.3">
      <c r="A11" s="288"/>
      <c r="B11" s="288"/>
      <c r="C11" s="288"/>
      <c r="D11" s="288"/>
      <c r="E11" s="400" t="s">
        <v>332</v>
      </c>
      <c r="F11" s="401"/>
      <c r="G11" s="401"/>
      <c r="H11" s="288"/>
      <c r="I11" s="288"/>
      <c r="J11" s="288"/>
      <c r="K11" s="288"/>
      <c r="L11" s="288"/>
      <c r="M11" s="288"/>
      <c r="N11" s="288"/>
    </row>
    <row r="12" spans="1:14" ht="63.75" customHeight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</row>
    <row r="13" spans="1:14" ht="48" thickBot="1" x14ac:dyDescent="0.3">
      <c r="A13" s="348" t="s">
        <v>7</v>
      </c>
      <c r="B13" s="348" t="s">
        <v>8</v>
      </c>
      <c r="C13" s="351" t="s">
        <v>9</v>
      </c>
      <c r="D13" s="352"/>
      <c r="E13" s="352"/>
      <c r="F13" s="352"/>
      <c r="G13" s="353"/>
      <c r="H13" s="354"/>
      <c r="I13" s="289" t="s">
        <v>10</v>
      </c>
      <c r="J13" s="348" t="s">
        <v>11</v>
      </c>
      <c r="K13" s="355" t="s">
        <v>189</v>
      </c>
      <c r="L13" s="355" t="s">
        <v>13</v>
      </c>
      <c r="M13" s="89"/>
      <c r="N13" s="89"/>
    </row>
    <row r="14" spans="1:14" ht="48" thickBot="1" x14ac:dyDescent="0.3">
      <c r="A14" s="349"/>
      <c r="B14" s="349"/>
      <c r="C14" s="100" t="s">
        <v>14</v>
      </c>
      <c r="D14" s="360" t="s">
        <v>15</v>
      </c>
      <c r="E14" s="361"/>
      <c r="F14" s="362"/>
      <c r="G14" s="363" t="s">
        <v>16</v>
      </c>
      <c r="H14" s="348" t="s">
        <v>17</v>
      </c>
      <c r="I14" s="348" t="s">
        <v>19</v>
      </c>
      <c r="J14" s="349"/>
      <c r="K14" s="356"/>
      <c r="L14" s="356"/>
      <c r="M14" s="89"/>
      <c r="N14" s="89"/>
    </row>
    <row r="15" spans="1:14" ht="105" customHeight="1" thickBot="1" x14ac:dyDescent="0.3">
      <c r="A15" s="350"/>
      <c r="B15" s="350"/>
      <c r="C15" s="101" t="s">
        <v>20</v>
      </c>
      <c r="D15" s="102" t="s">
        <v>21</v>
      </c>
      <c r="E15" s="103" t="s">
        <v>22</v>
      </c>
      <c r="F15" s="103" t="s">
        <v>23</v>
      </c>
      <c r="G15" s="364"/>
      <c r="H15" s="350"/>
      <c r="I15" s="350"/>
      <c r="J15" s="350"/>
      <c r="K15" s="357"/>
      <c r="L15" s="357"/>
      <c r="M15" s="89"/>
      <c r="N15" s="89"/>
    </row>
    <row r="16" spans="1:14" ht="15.75" x14ac:dyDescent="0.25">
      <c r="A16" s="23">
        <v>1</v>
      </c>
      <c r="B16" s="24">
        <v>2</v>
      </c>
      <c r="C16" s="25">
        <v>3</v>
      </c>
      <c r="D16" s="25">
        <v>4</v>
      </c>
      <c r="E16" s="26">
        <v>5</v>
      </c>
      <c r="F16" s="26">
        <v>6</v>
      </c>
      <c r="G16" s="25">
        <v>6</v>
      </c>
      <c r="H16" s="26">
        <v>7</v>
      </c>
      <c r="I16" s="26">
        <v>9</v>
      </c>
      <c r="J16" s="26">
        <v>10</v>
      </c>
      <c r="K16" s="27">
        <v>11</v>
      </c>
      <c r="L16" s="28">
        <v>12</v>
      </c>
      <c r="M16" s="89"/>
      <c r="N16" s="89"/>
    </row>
    <row r="17" spans="1:14" ht="15.75" x14ac:dyDescent="0.25">
      <c r="A17" s="216">
        <v>1</v>
      </c>
      <c r="B17" s="218" t="s">
        <v>324</v>
      </c>
      <c r="C17" s="73">
        <v>0</v>
      </c>
      <c r="D17" s="73">
        <f>$N$35</f>
        <v>25171.200000000001</v>
      </c>
      <c r="E17" s="73">
        <f>D17*11%</f>
        <v>2768.8319999999999</v>
      </c>
      <c r="F17" s="73"/>
      <c r="G17" s="73">
        <f>$L$38</f>
        <v>3377.2549010402408</v>
      </c>
      <c r="H17" s="73">
        <f>C17+D17+E17+G17</f>
        <v>31317.286901040239</v>
      </c>
      <c r="I17" s="73">
        <f>F22</f>
        <v>131544</v>
      </c>
      <c r="J17" s="73">
        <f>H17+I17</f>
        <v>162861.28690104024</v>
      </c>
      <c r="K17" s="75">
        <f>(J17*15%)</f>
        <v>24429.193035156033</v>
      </c>
      <c r="L17" s="217">
        <f>K17+J17</f>
        <v>187290.47993619627</v>
      </c>
      <c r="M17" s="90"/>
      <c r="N17" s="89"/>
    </row>
    <row r="18" spans="1:14" ht="99" customHeight="1" x14ac:dyDescent="0.25">
      <c r="A18" s="107"/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90"/>
      <c r="M18" s="90"/>
      <c r="N18" s="90"/>
    </row>
    <row r="19" spans="1:14" ht="18.75" x14ac:dyDescent="0.25">
      <c r="A19" s="318" t="s">
        <v>26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</row>
    <row r="20" spans="1:14" ht="15.75" thickBot="1" x14ac:dyDescent="0.3">
      <c r="A20" s="38"/>
      <c r="B20" s="39"/>
      <c r="C20" s="40"/>
      <c r="D20" s="40"/>
      <c r="E20" s="41"/>
      <c r="F20" s="41"/>
      <c r="G20" s="40"/>
      <c r="H20" s="41"/>
      <c r="I20" s="42"/>
      <c r="J20" s="41"/>
      <c r="K20" s="41"/>
      <c r="L20" s="89"/>
      <c r="M20" s="89"/>
      <c r="N20" s="89"/>
    </row>
    <row r="21" spans="1:14" ht="39" thickBot="1" x14ac:dyDescent="0.3">
      <c r="A21" s="43" t="s">
        <v>7</v>
      </c>
      <c r="B21" s="44" t="s">
        <v>27</v>
      </c>
      <c r="C21" s="44" t="s">
        <v>329</v>
      </c>
      <c r="D21" s="44" t="s">
        <v>29</v>
      </c>
      <c r="E21" s="45" t="s">
        <v>327</v>
      </c>
      <c r="F21" s="44" t="s">
        <v>31</v>
      </c>
      <c r="G21" s="89"/>
      <c r="H21" s="89"/>
      <c r="I21" s="89"/>
      <c r="J21" s="89"/>
      <c r="K21" s="89"/>
      <c r="L21" s="89"/>
      <c r="M21" s="89"/>
      <c r="N21" s="89"/>
    </row>
    <row r="22" spans="1:14" ht="15" customHeight="1" x14ac:dyDescent="0.25">
      <c r="A22" s="268">
        <v>1</v>
      </c>
      <c r="B22" s="209" t="s">
        <v>326</v>
      </c>
      <c r="C22" s="268">
        <v>28.35</v>
      </c>
      <c r="D22" s="268">
        <v>290</v>
      </c>
      <c r="E22" s="268">
        <v>16</v>
      </c>
      <c r="F22" s="268">
        <f>C22*D22*E22</f>
        <v>131544</v>
      </c>
      <c r="G22" s="89"/>
      <c r="H22" s="89"/>
      <c r="I22" s="89"/>
      <c r="J22" s="89"/>
      <c r="K22" s="89"/>
      <c r="L22" s="89"/>
      <c r="M22" s="89"/>
      <c r="N22" s="89"/>
    </row>
    <row r="23" spans="1:14" x14ac:dyDescent="0.25">
      <c r="A23" s="394" t="s">
        <v>194</v>
      </c>
      <c r="B23" s="395"/>
      <c r="C23" s="395"/>
      <c r="D23" s="395"/>
      <c r="E23" s="396"/>
      <c r="F23" s="195">
        <f>SUM(F22:F22)</f>
        <v>131544</v>
      </c>
      <c r="G23" s="110"/>
      <c r="H23" s="89"/>
      <c r="I23" s="89"/>
      <c r="J23" s="89"/>
      <c r="K23" s="89"/>
      <c r="L23" s="89"/>
      <c r="M23" s="89"/>
      <c r="N23" s="89"/>
    </row>
    <row r="24" spans="1:14" ht="18.75" x14ac:dyDescent="0.25">
      <c r="A24" s="328" t="s">
        <v>37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</row>
    <row r="25" spans="1:14" ht="49.5" customHeight="1" thickBot="1" x14ac:dyDescent="0.3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 t="s">
        <v>38</v>
      </c>
    </row>
    <row r="26" spans="1:14" ht="15.75" thickBot="1" x14ac:dyDescent="0.3">
      <c r="A26" s="319" t="s">
        <v>7</v>
      </c>
      <c r="B26" s="319" t="s">
        <v>39</v>
      </c>
      <c r="C26" s="337" t="s">
        <v>40</v>
      </c>
      <c r="D26" s="337" t="s">
        <v>41</v>
      </c>
      <c r="E26" s="337" t="s">
        <v>102</v>
      </c>
      <c r="F26" s="319" t="s">
        <v>43</v>
      </c>
      <c r="G26" s="340" t="s">
        <v>188</v>
      </c>
      <c r="H26" s="341"/>
      <c r="I26" s="342"/>
      <c r="J26" s="315" t="s">
        <v>44</v>
      </c>
      <c r="K26" s="319" t="s">
        <v>328</v>
      </c>
      <c r="L26" s="319" t="s">
        <v>46</v>
      </c>
      <c r="M26" s="319" t="s">
        <v>47</v>
      </c>
      <c r="N26" s="319" t="s">
        <v>48</v>
      </c>
    </row>
    <row r="27" spans="1:14" x14ac:dyDescent="0.25">
      <c r="A27" s="320"/>
      <c r="B27" s="320"/>
      <c r="C27" s="338"/>
      <c r="D27" s="338"/>
      <c r="E27" s="338"/>
      <c r="F27" s="320"/>
      <c r="G27" s="315" t="s">
        <v>49</v>
      </c>
      <c r="H27" s="315" t="s">
        <v>50</v>
      </c>
      <c r="I27" s="332" t="s">
        <v>187</v>
      </c>
      <c r="J27" s="316"/>
      <c r="K27" s="320"/>
      <c r="L27" s="320"/>
      <c r="M27" s="320"/>
      <c r="N27" s="320"/>
    </row>
    <row r="28" spans="1:14" x14ac:dyDescent="0.25">
      <c r="A28" s="320"/>
      <c r="B28" s="320"/>
      <c r="C28" s="338"/>
      <c r="D28" s="338"/>
      <c r="E28" s="338"/>
      <c r="F28" s="320"/>
      <c r="G28" s="316"/>
      <c r="H28" s="316"/>
      <c r="I28" s="320"/>
      <c r="J28" s="316"/>
      <c r="K28" s="320"/>
      <c r="L28" s="320"/>
      <c r="M28" s="320"/>
      <c r="N28" s="320"/>
    </row>
    <row r="29" spans="1:14" ht="15.75" thickBot="1" x14ac:dyDescent="0.3">
      <c r="A29" s="320"/>
      <c r="B29" s="320"/>
      <c r="C29" s="338"/>
      <c r="D29" s="338"/>
      <c r="E29" s="338"/>
      <c r="F29" s="320"/>
      <c r="G29" s="317"/>
      <c r="H29" s="317"/>
      <c r="I29" s="321"/>
      <c r="J29" s="316"/>
      <c r="K29" s="320"/>
      <c r="L29" s="320"/>
      <c r="M29" s="320"/>
      <c r="N29" s="320"/>
    </row>
    <row r="30" spans="1:14" x14ac:dyDescent="0.25">
      <c r="A30" s="320"/>
      <c r="B30" s="320"/>
      <c r="C30" s="338"/>
      <c r="D30" s="338"/>
      <c r="E30" s="338"/>
      <c r="F30" s="320"/>
      <c r="G30" s="343" t="s">
        <v>19</v>
      </c>
      <c r="H30" s="333" t="s">
        <v>19</v>
      </c>
      <c r="I30" s="335" t="s">
        <v>19</v>
      </c>
      <c r="J30" s="316"/>
      <c r="K30" s="320"/>
      <c r="L30" s="320"/>
      <c r="M30" s="320"/>
      <c r="N30" s="320"/>
    </row>
    <row r="31" spans="1:14" ht="15.75" thickBot="1" x14ac:dyDescent="0.3">
      <c r="A31" s="321"/>
      <c r="B31" s="321"/>
      <c r="C31" s="339"/>
      <c r="D31" s="339"/>
      <c r="E31" s="339"/>
      <c r="F31" s="321"/>
      <c r="G31" s="344"/>
      <c r="H31" s="334"/>
      <c r="I31" s="336"/>
      <c r="J31" s="317"/>
      <c r="K31" s="321"/>
      <c r="L31" s="321"/>
      <c r="M31" s="321"/>
      <c r="N31" s="321"/>
    </row>
    <row r="32" spans="1:14" x14ac:dyDescent="0.25">
      <c r="A32" s="111">
        <v>1</v>
      </c>
      <c r="B32" s="112">
        <v>2</v>
      </c>
      <c r="C32" s="113">
        <v>3</v>
      </c>
      <c r="D32" s="113">
        <v>4</v>
      </c>
      <c r="E32" s="113">
        <v>5</v>
      </c>
      <c r="F32" s="113">
        <v>6</v>
      </c>
      <c r="G32" s="113">
        <v>9</v>
      </c>
      <c r="H32" s="113">
        <v>11</v>
      </c>
      <c r="I32" s="51">
        <v>13</v>
      </c>
      <c r="J32" s="114">
        <v>14</v>
      </c>
      <c r="K32" s="114">
        <v>15</v>
      </c>
      <c r="L32" s="114">
        <v>16</v>
      </c>
      <c r="M32" s="113">
        <v>17</v>
      </c>
      <c r="N32" s="115">
        <v>18</v>
      </c>
    </row>
    <row r="33" spans="1:14" x14ac:dyDescent="0.25">
      <c r="A33" s="229">
        <v>1</v>
      </c>
      <c r="B33" s="230" t="s">
        <v>53</v>
      </c>
      <c r="C33" s="229" t="s">
        <v>106</v>
      </c>
      <c r="D33" s="229">
        <v>7.2</v>
      </c>
      <c r="E33" s="117">
        <v>17697</v>
      </c>
      <c r="F33" s="117">
        <v>169909</v>
      </c>
      <c r="G33" s="231"/>
      <c r="H33" s="117"/>
      <c r="I33" s="117"/>
      <c r="J33" s="117">
        <f>F33+G33+H33+I33</f>
        <v>169909</v>
      </c>
      <c r="K33" s="117">
        <f>J33/150</f>
        <v>1132.7266666666667</v>
      </c>
      <c r="L33" s="117">
        <v>18.86</v>
      </c>
      <c r="M33" s="117">
        <v>720</v>
      </c>
      <c r="N33" s="219">
        <f>L33*M33</f>
        <v>13579.199999999999</v>
      </c>
    </row>
    <row r="34" spans="1:14" ht="15.75" thickBot="1" x14ac:dyDescent="0.3">
      <c r="A34" s="234">
        <v>2</v>
      </c>
      <c r="B34" s="235" t="s">
        <v>323</v>
      </c>
      <c r="C34" s="234"/>
      <c r="D34" s="234">
        <v>6.5</v>
      </c>
      <c r="E34" s="236">
        <v>17697</v>
      </c>
      <c r="F34" s="236">
        <v>144938</v>
      </c>
      <c r="G34" s="237"/>
      <c r="H34" s="236"/>
      <c r="I34" s="236"/>
      <c r="J34" s="236">
        <f t="shared" ref="J34" si="0">F34+G34+H34+I34</f>
        <v>144938</v>
      </c>
      <c r="K34" s="236">
        <f>J34/150</f>
        <v>966.25333333333333</v>
      </c>
      <c r="L34" s="236">
        <v>16.100000000000001</v>
      </c>
      <c r="M34" s="117">
        <v>720</v>
      </c>
      <c r="N34" s="238">
        <f t="shared" ref="N34" si="1">L34*M34</f>
        <v>11592.000000000002</v>
      </c>
    </row>
    <row r="35" spans="1:14" ht="15.75" thickBot="1" x14ac:dyDescent="0.3">
      <c r="A35" s="329" t="s">
        <v>194</v>
      </c>
      <c r="B35" s="330"/>
      <c r="C35" s="330"/>
      <c r="D35" s="330"/>
      <c r="E35" s="331"/>
      <c r="F35" s="239"/>
      <c r="G35" s="239"/>
      <c r="H35" s="239"/>
      <c r="I35" s="239"/>
      <c r="J35" s="239"/>
      <c r="K35" s="239"/>
      <c r="L35" s="239"/>
      <c r="M35" s="239"/>
      <c r="N35" s="269">
        <f>SUM(N33:N34)</f>
        <v>25171.200000000001</v>
      </c>
    </row>
    <row r="36" spans="1:14" ht="57.75" customHeight="1" thickBot="1" x14ac:dyDescent="0.3">
      <c r="A36" s="322" t="s">
        <v>16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</row>
    <row r="37" spans="1:14" ht="57.75" customHeight="1" thickBot="1" x14ac:dyDescent="0.3">
      <c r="A37" s="3" t="s">
        <v>7</v>
      </c>
      <c r="B37" s="4" t="s">
        <v>55</v>
      </c>
      <c r="C37" s="5" t="s">
        <v>56</v>
      </c>
      <c r="D37" s="6" t="s">
        <v>57</v>
      </c>
      <c r="E37" s="4" t="s">
        <v>58</v>
      </c>
      <c r="F37" s="7" t="s">
        <v>59</v>
      </c>
      <c r="G37" s="8" t="s">
        <v>60</v>
      </c>
      <c r="H37" s="4" t="s">
        <v>61</v>
      </c>
      <c r="I37" s="4" t="s">
        <v>62</v>
      </c>
      <c r="J37" s="9" t="s">
        <v>63</v>
      </c>
      <c r="K37" s="10" t="s">
        <v>64</v>
      </c>
      <c r="L37" s="11" t="s">
        <v>65</v>
      </c>
      <c r="M37" s="89"/>
      <c r="N37" s="89"/>
    </row>
    <row r="38" spans="1:14" ht="25.5" x14ac:dyDescent="0.25">
      <c r="A38" s="124">
        <v>1</v>
      </c>
      <c r="B38" s="243" t="s">
        <v>325</v>
      </c>
      <c r="C38" s="91">
        <v>1</v>
      </c>
      <c r="D38" s="92">
        <v>2020</v>
      </c>
      <c r="E38" s="93">
        <v>156699999.83000001</v>
      </c>
      <c r="F38" s="93">
        <f>E38*0%</f>
        <v>0</v>
      </c>
      <c r="G38" s="136">
        <v>0.35830000000000001</v>
      </c>
      <c r="H38" s="93">
        <v>117350888.97</v>
      </c>
      <c r="I38" s="93">
        <f>H38*G38/100</f>
        <v>420468.23517950997</v>
      </c>
      <c r="J38" s="93">
        <f>I38/1992</f>
        <v>211.07843131501505</v>
      </c>
      <c r="K38" s="93">
        <v>16</v>
      </c>
      <c r="L38" s="126">
        <f>J38*K38</f>
        <v>3377.2549010402408</v>
      </c>
      <c r="M38" s="89"/>
      <c r="N38" s="89"/>
    </row>
    <row r="39" spans="1:14" x14ac:dyDescent="0.25">
      <c r="A39" s="89"/>
      <c r="B39" s="89"/>
      <c r="C39" s="89"/>
      <c r="D39" s="89"/>
      <c r="E39" s="141"/>
      <c r="F39" s="89"/>
      <c r="G39" s="89"/>
      <c r="H39" s="89"/>
      <c r="I39" s="89"/>
      <c r="J39" s="89"/>
      <c r="K39" s="89"/>
      <c r="L39" s="89"/>
      <c r="M39" s="89"/>
      <c r="N39" s="89"/>
    </row>
    <row r="40" spans="1:14" ht="18.75" x14ac:dyDescent="0.3">
      <c r="A40" s="89"/>
      <c r="B40" s="130"/>
      <c r="C40" s="131"/>
      <c r="D40" s="132"/>
      <c r="E40" s="141"/>
      <c r="F40" s="89"/>
      <c r="G40" s="133"/>
      <c r="H40" s="134"/>
      <c r="I40" s="89"/>
      <c r="J40" s="127"/>
      <c r="K40" s="128"/>
      <c r="L40" s="89"/>
      <c r="M40" s="89"/>
      <c r="N40" s="89"/>
    </row>
    <row r="41" spans="1:14" ht="27.75" customHeight="1" x14ac:dyDescent="0.3">
      <c r="A41" s="89"/>
      <c r="B41" s="143" t="s">
        <v>67</v>
      </c>
      <c r="C41" s="143" t="s">
        <v>333</v>
      </c>
      <c r="D41" s="144"/>
      <c r="E41" s="142" t="s">
        <v>316</v>
      </c>
      <c r="F41" s="135"/>
      <c r="G41" s="133"/>
      <c r="H41" s="134"/>
      <c r="I41" s="89"/>
      <c r="J41" s="127"/>
      <c r="K41" s="128"/>
      <c r="L41" s="89"/>
      <c r="M41" s="89"/>
      <c r="N41" s="89"/>
    </row>
    <row r="42" spans="1:14" ht="18.75" x14ac:dyDescent="0.3">
      <c r="A42" s="89"/>
      <c r="B42" s="145"/>
      <c r="C42" s="143"/>
      <c r="D42" s="144"/>
      <c r="E42" s="142"/>
      <c r="F42" s="135"/>
      <c r="G42" s="133"/>
      <c r="H42" s="134"/>
      <c r="I42" s="89"/>
      <c r="J42" s="127"/>
      <c r="K42" s="128"/>
      <c r="L42" s="89"/>
      <c r="M42" s="89"/>
      <c r="N42" s="89"/>
    </row>
    <row r="43" spans="1:14" ht="39" customHeight="1" x14ac:dyDescent="0.3">
      <c r="A43" s="89"/>
      <c r="B43" s="145" t="s">
        <v>70</v>
      </c>
      <c r="C43" s="143" t="s">
        <v>334</v>
      </c>
      <c r="D43" s="144"/>
      <c r="E43" s="135" t="s">
        <v>322</v>
      </c>
      <c r="F43" s="144"/>
      <c r="G43" s="133"/>
      <c r="H43" s="134"/>
      <c r="I43" s="89"/>
      <c r="J43" s="127"/>
      <c r="K43" s="128"/>
      <c r="L43" s="89"/>
      <c r="M43" s="89"/>
      <c r="N43" s="89"/>
    </row>
    <row r="44" spans="1:14" ht="15.75" x14ac:dyDescent="0.25">
      <c r="A44" s="89"/>
      <c r="B44" s="145"/>
      <c r="C44" s="135"/>
      <c r="D44" s="135"/>
      <c r="E44" s="135"/>
      <c r="F44" s="135"/>
      <c r="G44" s="89"/>
      <c r="H44" s="89"/>
      <c r="I44" s="89"/>
      <c r="J44" s="89"/>
      <c r="K44" s="89"/>
      <c r="L44" s="89"/>
      <c r="M44" s="89"/>
      <c r="N44" s="89"/>
    </row>
  </sheetData>
  <mergeCells count="42">
    <mergeCell ref="A35:E35"/>
    <mergeCell ref="A36:N36"/>
    <mergeCell ref="H27:H29"/>
    <mergeCell ref="I27:I29"/>
    <mergeCell ref="G30:G31"/>
    <mergeCell ref="H30:H31"/>
    <mergeCell ref="I30:I31"/>
    <mergeCell ref="A8:N8"/>
    <mergeCell ref="A9:N9"/>
    <mergeCell ref="A10:N10"/>
    <mergeCell ref="A13:A15"/>
    <mergeCell ref="B13:B15"/>
    <mergeCell ref="C13:H13"/>
    <mergeCell ref="J13:J15"/>
    <mergeCell ref="E11:G11"/>
    <mergeCell ref="K13:K15"/>
    <mergeCell ref="L13:L15"/>
    <mergeCell ref="D14:F14"/>
    <mergeCell ref="G14:G15"/>
    <mergeCell ref="H14:H15"/>
    <mergeCell ref="I14:I15"/>
    <mergeCell ref="H1:N1"/>
    <mergeCell ref="H2:N2"/>
    <mergeCell ref="H3:N3"/>
    <mergeCell ref="H4:N4"/>
    <mergeCell ref="H5:N5"/>
    <mergeCell ref="A19:N19"/>
    <mergeCell ref="A23:E23"/>
    <mergeCell ref="A24:N24"/>
    <mergeCell ref="A26:A31"/>
    <mergeCell ref="B26:B31"/>
    <mergeCell ref="C26:C31"/>
    <mergeCell ref="D26:D31"/>
    <mergeCell ref="E26:E31"/>
    <mergeCell ref="F26:F31"/>
    <mergeCell ref="G26:I26"/>
    <mergeCell ref="J26:J31"/>
    <mergeCell ref="K26:K31"/>
    <mergeCell ref="L26:L31"/>
    <mergeCell ref="M26:M31"/>
    <mergeCell ref="N26:N31"/>
    <mergeCell ref="G27:G29"/>
  </mergeCells>
  <pageMargins left="0.7" right="0.7" top="0.75" bottom="0.75" header="0.3" footer="0.3"/>
  <pageSetup paperSize="9" scale="5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selection activeCell="B38" sqref="B38"/>
    </sheetView>
  </sheetViews>
  <sheetFormatPr defaultRowHeight="15" x14ac:dyDescent="0.25"/>
  <cols>
    <col min="2" max="2" width="23.42578125" bestFit="1" customWidth="1"/>
    <col min="4" max="4" width="12" bestFit="1" customWidth="1"/>
    <col min="5" max="5" width="21.42578125" bestFit="1" customWidth="1"/>
    <col min="6" max="6" width="14.140625" bestFit="1" customWidth="1"/>
    <col min="8" max="8" width="17.7109375" bestFit="1" customWidth="1"/>
  </cols>
  <sheetData>
    <row r="1" spans="1:14" ht="18.75" x14ac:dyDescent="0.3">
      <c r="A1" s="94"/>
      <c r="B1" s="95"/>
      <c r="C1" s="96"/>
      <c r="D1" s="96"/>
      <c r="E1" s="94"/>
      <c r="F1" s="94"/>
      <c r="G1" s="96"/>
      <c r="H1" s="392" t="s">
        <v>0</v>
      </c>
      <c r="I1" s="392"/>
      <c r="J1" s="392"/>
      <c r="K1" s="392"/>
      <c r="L1" s="392"/>
      <c r="M1" s="392"/>
      <c r="N1" s="392"/>
    </row>
    <row r="2" spans="1:14" ht="18.75" x14ac:dyDescent="0.3">
      <c r="A2" s="94"/>
      <c r="B2" s="95"/>
      <c r="C2" s="96"/>
      <c r="D2" s="96"/>
      <c r="E2" s="94"/>
      <c r="F2" s="94"/>
      <c r="G2" s="96"/>
      <c r="H2" s="392" t="s">
        <v>1</v>
      </c>
      <c r="I2" s="392"/>
      <c r="J2" s="392"/>
      <c r="K2" s="392"/>
      <c r="L2" s="392"/>
      <c r="M2" s="392"/>
      <c r="N2" s="392"/>
    </row>
    <row r="3" spans="1:14" ht="18.75" x14ac:dyDescent="0.3">
      <c r="A3" s="94"/>
      <c r="B3" s="95"/>
      <c r="C3" s="96"/>
      <c r="D3" s="96"/>
      <c r="E3" s="94"/>
      <c r="F3" s="94"/>
      <c r="G3" s="96"/>
      <c r="H3" s="392" t="s">
        <v>2</v>
      </c>
      <c r="I3" s="392"/>
      <c r="J3" s="392"/>
      <c r="K3" s="392"/>
      <c r="L3" s="392"/>
      <c r="M3" s="392"/>
      <c r="N3" s="392"/>
    </row>
    <row r="4" spans="1:14" ht="28.5" customHeight="1" x14ac:dyDescent="0.3">
      <c r="A4" s="94"/>
      <c r="B4" s="95"/>
      <c r="C4" s="96"/>
      <c r="D4" s="96"/>
      <c r="E4" s="94"/>
      <c r="F4" s="94"/>
      <c r="G4" s="96"/>
      <c r="H4" s="392" t="s">
        <v>3</v>
      </c>
      <c r="I4" s="392"/>
      <c r="J4" s="392"/>
      <c r="K4" s="392"/>
      <c r="L4" s="392"/>
      <c r="M4" s="392"/>
      <c r="N4" s="392"/>
    </row>
    <row r="5" spans="1:14" ht="27.75" customHeight="1" x14ac:dyDescent="0.3">
      <c r="A5" s="94"/>
      <c r="B5" s="95"/>
      <c r="C5" s="96"/>
      <c r="D5" s="96"/>
      <c r="E5" s="94"/>
      <c r="F5" s="94"/>
      <c r="G5" s="96"/>
      <c r="H5" s="392" t="s">
        <v>317</v>
      </c>
      <c r="I5" s="392"/>
      <c r="J5" s="392"/>
      <c r="K5" s="392"/>
      <c r="L5" s="392"/>
      <c r="M5" s="392"/>
      <c r="N5" s="392"/>
    </row>
    <row r="6" spans="1:14" ht="18.75" x14ac:dyDescent="0.3">
      <c r="A6" s="94"/>
      <c r="B6" s="95"/>
      <c r="C6" s="96"/>
      <c r="D6" s="96"/>
      <c r="E6" s="94"/>
      <c r="F6" s="94"/>
      <c r="G6" s="96"/>
      <c r="H6" s="94"/>
      <c r="I6" s="287"/>
      <c r="J6" s="287"/>
      <c r="K6" s="287"/>
      <c r="L6" s="90"/>
      <c r="M6" s="97"/>
      <c r="N6" s="97"/>
    </row>
    <row r="7" spans="1:14" ht="18.75" customHeight="1" x14ac:dyDescent="0.3">
      <c r="A7" s="94"/>
      <c r="B7" s="95"/>
      <c r="C7" s="96"/>
      <c r="D7" s="96"/>
      <c r="E7" s="94"/>
      <c r="F7" s="94"/>
      <c r="G7" s="96"/>
      <c r="H7" s="94"/>
      <c r="I7" s="287"/>
      <c r="J7" s="287"/>
      <c r="K7" s="287"/>
      <c r="L7" s="90"/>
      <c r="M7" s="97"/>
      <c r="N7" s="97"/>
    </row>
    <row r="8" spans="1:14" ht="18.75" x14ac:dyDescent="0.3">
      <c r="A8" s="346" t="s">
        <v>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18.75" x14ac:dyDescent="0.25">
      <c r="A9" s="347" t="s">
        <v>72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</row>
    <row r="10" spans="1:14" ht="16.5" customHeight="1" x14ac:dyDescent="0.3">
      <c r="A10" s="346" t="s">
        <v>305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s="89" customFormat="1" ht="16.5" customHeight="1" x14ac:dyDescent="0.3">
      <c r="A11" s="288"/>
      <c r="B11" s="288"/>
      <c r="C11" s="288"/>
      <c r="D11" s="288"/>
      <c r="E11" s="346" t="s">
        <v>331</v>
      </c>
      <c r="F11" s="346"/>
      <c r="G11" s="346"/>
      <c r="H11" s="288"/>
      <c r="I11" s="288"/>
      <c r="J11" s="288"/>
      <c r="K11" s="288"/>
      <c r="L11" s="288"/>
      <c r="M11" s="288"/>
      <c r="N11" s="288"/>
    </row>
    <row r="12" spans="1:14" ht="63.75" customHeight="1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</row>
    <row r="13" spans="1:14" ht="63.75" thickBot="1" x14ac:dyDescent="0.3">
      <c r="A13" s="348" t="s">
        <v>7</v>
      </c>
      <c r="B13" s="348" t="s">
        <v>8</v>
      </c>
      <c r="C13" s="351" t="s">
        <v>9</v>
      </c>
      <c r="D13" s="352"/>
      <c r="E13" s="352"/>
      <c r="F13" s="352"/>
      <c r="G13" s="353"/>
      <c r="H13" s="354"/>
      <c r="I13" s="289" t="s">
        <v>10</v>
      </c>
      <c r="J13" s="348" t="s">
        <v>11</v>
      </c>
      <c r="K13" s="355" t="s">
        <v>189</v>
      </c>
      <c r="L13" s="355" t="s">
        <v>13</v>
      </c>
      <c r="M13" s="89"/>
      <c r="N13" s="89"/>
    </row>
    <row r="14" spans="1:14" ht="63.75" thickBot="1" x14ac:dyDescent="0.3">
      <c r="A14" s="349"/>
      <c r="B14" s="349"/>
      <c r="C14" s="100" t="s">
        <v>14</v>
      </c>
      <c r="D14" s="360" t="s">
        <v>15</v>
      </c>
      <c r="E14" s="361"/>
      <c r="F14" s="362"/>
      <c r="G14" s="363" t="s">
        <v>16</v>
      </c>
      <c r="H14" s="348" t="s">
        <v>17</v>
      </c>
      <c r="I14" s="348" t="s">
        <v>19</v>
      </c>
      <c r="J14" s="349"/>
      <c r="K14" s="356"/>
      <c r="L14" s="356"/>
      <c r="M14" s="89"/>
      <c r="N14" s="89"/>
    </row>
    <row r="15" spans="1:14" ht="95.25" thickBot="1" x14ac:dyDescent="0.3">
      <c r="A15" s="350"/>
      <c r="B15" s="350"/>
      <c r="C15" s="101" t="s">
        <v>20</v>
      </c>
      <c r="D15" s="102" t="s">
        <v>21</v>
      </c>
      <c r="E15" s="103" t="s">
        <v>22</v>
      </c>
      <c r="F15" s="103" t="s">
        <v>23</v>
      </c>
      <c r="G15" s="364"/>
      <c r="H15" s="350"/>
      <c r="I15" s="350"/>
      <c r="J15" s="350"/>
      <c r="K15" s="357"/>
      <c r="L15" s="357"/>
      <c r="M15" s="89"/>
      <c r="N15" s="89"/>
    </row>
    <row r="16" spans="1:14" ht="15.75" x14ac:dyDescent="0.25">
      <c r="A16" s="23">
        <v>1</v>
      </c>
      <c r="B16" s="24">
        <v>2</v>
      </c>
      <c r="C16" s="25">
        <v>3</v>
      </c>
      <c r="D16" s="25">
        <v>4</v>
      </c>
      <c r="E16" s="26">
        <v>5</v>
      </c>
      <c r="F16" s="26">
        <v>6</v>
      </c>
      <c r="G16" s="25">
        <v>6</v>
      </c>
      <c r="H16" s="26">
        <v>7</v>
      </c>
      <c r="I16" s="26">
        <v>9</v>
      </c>
      <c r="J16" s="26">
        <v>10</v>
      </c>
      <c r="K16" s="27">
        <v>11</v>
      </c>
      <c r="L16" s="28">
        <v>12</v>
      </c>
      <c r="M16" s="89"/>
      <c r="N16" s="89"/>
    </row>
    <row r="17" spans="1:14" ht="15.75" x14ac:dyDescent="0.25">
      <c r="A17" s="216">
        <v>1</v>
      </c>
      <c r="B17" s="218" t="s">
        <v>324</v>
      </c>
      <c r="C17" s="73">
        <v>0</v>
      </c>
      <c r="D17" s="73">
        <f>$N$35</f>
        <v>76676.399999999994</v>
      </c>
      <c r="E17" s="73">
        <f>D17*11%</f>
        <v>8434.4039999999986</v>
      </c>
      <c r="F17" s="73"/>
      <c r="G17" s="73">
        <f>$L$38</f>
        <v>13509.019604160963</v>
      </c>
      <c r="H17" s="73">
        <f>C17+D17+E17+G17</f>
        <v>98619.823604160949</v>
      </c>
      <c r="I17" s="73">
        <f>F22</f>
        <v>526176</v>
      </c>
      <c r="J17" s="73">
        <f>H17+I17</f>
        <v>624795.82360416092</v>
      </c>
      <c r="K17" s="75">
        <f>(J17*15%)</f>
        <v>93719.373540624132</v>
      </c>
      <c r="L17" s="217">
        <f>K17+J17</f>
        <v>718515.19714478508</v>
      </c>
      <c r="M17" s="90"/>
      <c r="N17" s="89"/>
    </row>
    <row r="18" spans="1:14" ht="27.75" customHeight="1" x14ac:dyDescent="0.25">
      <c r="A18" s="107"/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90"/>
      <c r="M18" s="90"/>
      <c r="N18" s="90"/>
    </row>
    <row r="19" spans="1:14" ht="18.75" x14ac:dyDescent="0.25">
      <c r="A19" s="318" t="s">
        <v>26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</row>
    <row r="20" spans="1:14" ht="15.75" thickBot="1" x14ac:dyDescent="0.3">
      <c r="A20" s="38"/>
      <c r="B20" s="39"/>
      <c r="C20" s="40"/>
      <c r="D20" s="40"/>
      <c r="E20" s="41"/>
      <c r="F20" s="41"/>
      <c r="G20" s="40"/>
      <c r="H20" s="41"/>
      <c r="I20" s="42"/>
      <c r="J20" s="41"/>
      <c r="K20" s="41"/>
      <c r="L20" s="89"/>
      <c r="M20" s="89"/>
      <c r="N20" s="89"/>
    </row>
    <row r="21" spans="1:14" ht="64.5" thickBot="1" x14ac:dyDescent="0.3">
      <c r="A21" s="43" t="s">
        <v>7</v>
      </c>
      <c r="B21" s="44" t="s">
        <v>27</v>
      </c>
      <c r="C21" s="44" t="s">
        <v>329</v>
      </c>
      <c r="D21" s="44" t="s">
        <v>29</v>
      </c>
      <c r="E21" s="45" t="s">
        <v>327</v>
      </c>
      <c r="F21" s="44" t="s">
        <v>31</v>
      </c>
      <c r="G21" s="89"/>
      <c r="H21" s="89"/>
      <c r="I21" s="89"/>
      <c r="J21" s="89"/>
      <c r="K21" s="89"/>
      <c r="L21" s="89"/>
      <c r="M21" s="89"/>
      <c r="N21" s="89"/>
    </row>
    <row r="22" spans="1:14" ht="23.25" customHeight="1" x14ac:dyDescent="0.25">
      <c r="A22" s="268">
        <v>1</v>
      </c>
      <c r="B22" s="209" t="s">
        <v>326</v>
      </c>
      <c r="C22" s="268">
        <v>28.35</v>
      </c>
      <c r="D22" s="268">
        <v>290</v>
      </c>
      <c r="E22" s="268">
        <v>64</v>
      </c>
      <c r="F22" s="268">
        <f>C22*D22*E22</f>
        <v>526176</v>
      </c>
      <c r="G22" s="89"/>
      <c r="H22" s="89"/>
      <c r="I22" s="89"/>
      <c r="J22" s="89"/>
      <c r="K22" s="89"/>
      <c r="L22" s="89"/>
      <c r="M22" s="89"/>
      <c r="N22" s="89"/>
    </row>
    <row r="23" spans="1:14" ht="23.25" customHeight="1" x14ac:dyDescent="0.25">
      <c r="A23" s="394" t="s">
        <v>194</v>
      </c>
      <c r="B23" s="395"/>
      <c r="C23" s="395"/>
      <c r="D23" s="395"/>
      <c r="E23" s="396"/>
      <c r="F23" s="195">
        <f>SUM(F22:F22)</f>
        <v>526176</v>
      </c>
      <c r="G23" s="110"/>
      <c r="H23" s="89"/>
      <c r="I23" s="89"/>
      <c r="J23" s="89"/>
      <c r="K23" s="89"/>
      <c r="L23" s="89"/>
      <c r="M23" s="89"/>
      <c r="N23" s="89"/>
    </row>
    <row r="24" spans="1:14" ht="18.75" x14ac:dyDescent="0.25">
      <c r="A24" s="328" t="s">
        <v>37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</row>
    <row r="25" spans="1:14" ht="38.25" customHeight="1" thickBot="1" x14ac:dyDescent="0.3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 t="s">
        <v>38</v>
      </c>
    </row>
    <row r="26" spans="1:14" ht="15.75" thickBot="1" x14ac:dyDescent="0.3">
      <c r="A26" s="319" t="s">
        <v>7</v>
      </c>
      <c r="B26" s="319" t="s">
        <v>39</v>
      </c>
      <c r="C26" s="337" t="s">
        <v>40</v>
      </c>
      <c r="D26" s="337" t="s">
        <v>41</v>
      </c>
      <c r="E26" s="337" t="s">
        <v>102</v>
      </c>
      <c r="F26" s="319" t="s">
        <v>43</v>
      </c>
      <c r="G26" s="340" t="s">
        <v>188</v>
      </c>
      <c r="H26" s="341"/>
      <c r="I26" s="342"/>
      <c r="J26" s="315" t="s">
        <v>44</v>
      </c>
      <c r="K26" s="319" t="s">
        <v>330</v>
      </c>
      <c r="L26" s="319" t="s">
        <v>46</v>
      </c>
      <c r="M26" s="319" t="s">
        <v>47</v>
      </c>
      <c r="N26" s="319" t="s">
        <v>48</v>
      </c>
    </row>
    <row r="27" spans="1:14" x14ac:dyDescent="0.25">
      <c r="A27" s="320"/>
      <c r="B27" s="320"/>
      <c r="C27" s="338"/>
      <c r="D27" s="338"/>
      <c r="E27" s="338"/>
      <c r="F27" s="320"/>
      <c r="G27" s="315" t="s">
        <v>49</v>
      </c>
      <c r="H27" s="315" t="s">
        <v>50</v>
      </c>
      <c r="I27" s="332" t="s">
        <v>187</v>
      </c>
      <c r="J27" s="316"/>
      <c r="K27" s="320"/>
      <c r="L27" s="320"/>
      <c r="M27" s="320"/>
      <c r="N27" s="320"/>
    </row>
    <row r="28" spans="1:14" x14ac:dyDescent="0.25">
      <c r="A28" s="320"/>
      <c r="B28" s="320"/>
      <c r="C28" s="338"/>
      <c r="D28" s="338"/>
      <c r="E28" s="338"/>
      <c r="F28" s="320"/>
      <c r="G28" s="316"/>
      <c r="H28" s="316"/>
      <c r="I28" s="320"/>
      <c r="J28" s="316"/>
      <c r="K28" s="320"/>
      <c r="L28" s="320"/>
      <c r="M28" s="320"/>
      <c r="N28" s="320"/>
    </row>
    <row r="29" spans="1:14" ht="15.75" thickBot="1" x14ac:dyDescent="0.3">
      <c r="A29" s="320"/>
      <c r="B29" s="320"/>
      <c r="C29" s="338"/>
      <c r="D29" s="338"/>
      <c r="E29" s="338"/>
      <c r="F29" s="320"/>
      <c r="G29" s="317"/>
      <c r="H29" s="317"/>
      <c r="I29" s="321"/>
      <c r="J29" s="316"/>
      <c r="K29" s="320"/>
      <c r="L29" s="320"/>
      <c r="M29" s="320"/>
      <c r="N29" s="320"/>
    </row>
    <row r="30" spans="1:14" x14ac:dyDescent="0.25">
      <c r="A30" s="320"/>
      <c r="B30" s="320"/>
      <c r="C30" s="338"/>
      <c r="D30" s="338"/>
      <c r="E30" s="338"/>
      <c r="F30" s="320"/>
      <c r="G30" s="343" t="s">
        <v>19</v>
      </c>
      <c r="H30" s="333" t="s">
        <v>19</v>
      </c>
      <c r="I30" s="335" t="s">
        <v>19</v>
      </c>
      <c r="J30" s="316"/>
      <c r="K30" s="320"/>
      <c r="L30" s="320"/>
      <c r="M30" s="320"/>
      <c r="N30" s="320"/>
    </row>
    <row r="31" spans="1:14" ht="15.75" thickBot="1" x14ac:dyDescent="0.3">
      <c r="A31" s="321"/>
      <c r="B31" s="321"/>
      <c r="C31" s="339"/>
      <c r="D31" s="339"/>
      <c r="E31" s="339"/>
      <c r="F31" s="321"/>
      <c r="G31" s="344"/>
      <c r="H31" s="334"/>
      <c r="I31" s="336"/>
      <c r="J31" s="317"/>
      <c r="K31" s="321"/>
      <c r="L31" s="321"/>
      <c r="M31" s="321"/>
      <c r="N31" s="321"/>
    </row>
    <row r="32" spans="1:14" x14ac:dyDescent="0.25">
      <c r="A32" s="111">
        <v>1</v>
      </c>
      <c r="B32" s="112">
        <v>2</v>
      </c>
      <c r="C32" s="113">
        <v>3</v>
      </c>
      <c r="D32" s="113">
        <v>4</v>
      </c>
      <c r="E32" s="113">
        <v>5</v>
      </c>
      <c r="F32" s="113">
        <v>6</v>
      </c>
      <c r="G32" s="113">
        <v>9</v>
      </c>
      <c r="H32" s="113">
        <v>11</v>
      </c>
      <c r="I32" s="51">
        <v>13</v>
      </c>
      <c r="J32" s="114">
        <v>14</v>
      </c>
      <c r="K32" s="114">
        <v>15</v>
      </c>
      <c r="L32" s="114">
        <v>16</v>
      </c>
      <c r="M32" s="113">
        <v>17</v>
      </c>
      <c r="N32" s="115">
        <v>18</v>
      </c>
    </row>
    <row r="33" spans="1:16" x14ac:dyDescent="0.25">
      <c r="A33" s="229">
        <v>1</v>
      </c>
      <c r="B33" s="230" t="s">
        <v>53</v>
      </c>
      <c r="C33" s="229" t="s">
        <v>106</v>
      </c>
      <c r="D33" s="229">
        <v>7.2</v>
      </c>
      <c r="E33" s="117">
        <v>17697</v>
      </c>
      <c r="F33" s="117">
        <v>169909</v>
      </c>
      <c r="G33" s="231"/>
      <c r="H33" s="117"/>
      <c r="I33" s="117"/>
      <c r="J33" s="117">
        <f>F33+G33+H33+I33</f>
        <v>169909</v>
      </c>
      <c r="K33" s="117">
        <f>J33/156</f>
        <v>1089.1602564102564</v>
      </c>
      <c r="L33" s="117">
        <v>18.149999999999999</v>
      </c>
      <c r="M33" s="117">
        <v>2280</v>
      </c>
      <c r="N33" s="219">
        <f>L33*M33</f>
        <v>41382</v>
      </c>
    </row>
    <row r="34" spans="1:16" ht="15.75" thickBot="1" x14ac:dyDescent="0.3">
      <c r="A34" s="234">
        <v>2</v>
      </c>
      <c r="B34" s="235" t="s">
        <v>323</v>
      </c>
      <c r="C34" s="234"/>
      <c r="D34" s="234">
        <v>6.5</v>
      </c>
      <c r="E34" s="236">
        <v>17697</v>
      </c>
      <c r="F34" s="236">
        <v>144938</v>
      </c>
      <c r="G34" s="237"/>
      <c r="H34" s="236"/>
      <c r="I34" s="236"/>
      <c r="J34" s="236">
        <f t="shared" ref="J34" si="0">F34+G34+H34+I34</f>
        <v>144938</v>
      </c>
      <c r="K34" s="236">
        <f>J34/156</f>
        <v>929.08974358974353</v>
      </c>
      <c r="L34" s="236">
        <v>15.48</v>
      </c>
      <c r="M34" s="117">
        <v>2280</v>
      </c>
      <c r="N34" s="238">
        <f t="shared" ref="N34" si="1">L34*M34</f>
        <v>35294.400000000001</v>
      </c>
    </row>
    <row r="35" spans="1:16" ht="15.75" thickBot="1" x14ac:dyDescent="0.3">
      <c r="A35" s="329" t="s">
        <v>194</v>
      </c>
      <c r="B35" s="330"/>
      <c r="C35" s="330"/>
      <c r="D35" s="330"/>
      <c r="E35" s="331"/>
      <c r="F35" s="239"/>
      <c r="G35" s="239"/>
      <c r="H35" s="239"/>
      <c r="I35" s="239"/>
      <c r="J35" s="239"/>
      <c r="K35" s="239"/>
      <c r="L35" s="239"/>
      <c r="M35" s="239"/>
      <c r="N35" s="269">
        <f>SUM(N33:N34)</f>
        <v>76676.399999999994</v>
      </c>
    </row>
    <row r="36" spans="1:16" ht="64.5" customHeight="1" thickBot="1" x14ac:dyDescent="0.3">
      <c r="A36" s="322" t="s">
        <v>16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</row>
    <row r="37" spans="1:16" ht="77.25" thickBot="1" x14ac:dyDescent="0.3">
      <c r="A37" s="3" t="s">
        <v>7</v>
      </c>
      <c r="B37" s="4" t="s">
        <v>55</v>
      </c>
      <c r="C37" s="5" t="s">
        <v>56</v>
      </c>
      <c r="D37" s="6" t="s">
        <v>57</v>
      </c>
      <c r="E37" s="4" t="s">
        <v>58</v>
      </c>
      <c r="F37" s="7" t="s">
        <v>59</v>
      </c>
      <c r="G37" s="8" t="s">
        <v>60</v>
      </c>
      <c r="H37" s="4" t="s">
        <v>61</v>
      </c>
      <c r="I37" s="4" t="s">
        <v>62</v>
      </c>
      <c r="J37" s="9" t="s">
        <v>63</v>
      </c>
      <c r="K37" s="10" t="s">
        <v>64</v>
      </c>
      <c r="L37" s="11" t="s">
        <v>65</v>
      </c>
      <c r="M37" s="89"/>
      <c r="N37" s="89"/>
    </row>
    <row r="38" spans="1:16" ht="25.5" x14ac:dyDescent="0.25">
      <c r="A38" s="124">
        <v>1</v>
      </c>
      <c r="B38" s="243" t="s">
        <v>325</v>
      </c>
      <c r="C38" s="91">
        <v>1</v>
      </c>
      <c r="D38" s="92">
        <v>2020</v>
      </c>
      <c r="E38" s="93">
        <v>156699999.83000001</v>
      </c>
      <c r="F38" s="93">
        <f>E38*0%</f>
        <v>0</v>
      </c>
      <c r="G38" s="136">
        <v>0.35830000000000001</v>
      </c>
      <c r="H38" s="93">
        <v>117350888.97</v>
      </c>
      <c r="I38" s="93">
        <f>H38*G38/100</f>
        <v>420468.23517950997</v>
      </c>
      <c r="J38" s="93">
        <f>I38/1992</f>
        <v>211.07843131501505</v>
      </c>
      <c r="K38" s="93">
        <v>64</v>
      </c>
      <c r="L38" s="126">
        <f>J38*K38</f>
        <v>13509.019604160963</v>
      </c>
      <c r="M38" s="89"/>
      <c r="N38" s="89"/>
    </row>
    <row r="39" spans="1:16" x14ac:dyDescent="0.25">
      <c r="A39" s="89"/>
      <c r="B39" s="89"/>
      <c r="C39" s="89"/>
      <c r="D39" s="89"/>
      <c r="E39" s="141"/>
      <c r="F39" s="89"/>
      <c r="G39" s="89"/>
      <c r="H39" s="89"/>
      <c r="I39" s="89"/>
      <c r="J39" s="89"/>
      <c r="K39" s="89"/>
      <c r="L39" s="89"/>
      <c r="M39" s="89"/>
      <c r="N39" s="89"/>
    </row>
    <row r="40" spans="1:16" ht="18.75" x14ac:dyDescent="0.3">
      <c r="A40" s="89"/>
      <c r="B40" s="130"/>
      <c r="C40" s="131"/>
      <c r="D40" s="132"/>
      <c r="E40" s="141"/>
      <c r="F40" s="89"/>
      <c r="G40" s="133"/>
      <c r="H40" s="134"/>
      <c r="I40" s="89"/>
      <c r="J40" s="127"/>
      <c r="K40" s="128"/>
      <c r="L40" s="89"/>
      <c r="M40" s="89"/>
      <c r="N40" s="89"/>
    </row>
    <row r="41" spans="1:16" ht="28.5" customHeight="1" x14ac:dyDescent="0.3">
      <c r="A41" s="89"/>
      <c r="B41" s="143" t="s">
        <v>67</v>
      </c>
      <c r="C41" s="143" t="s">
        <v>335</v>
      </c>
      <c r="D41" s="144"/>
      <c r="E41" s="142" t="s">
        <v>316</v>
      </c>
      <c r="F41" s="135"/>
      <c r="G41" s="133"/>
      <c r="H41" s="134"/>
      <c r="I41" s="89"/>
      <c r="J41" s="127"/>
      <c r="K41" s="128"/>
      <c r="L41" s="89"/>
      <c r="M41" s="89"/>
      <c r="N41" s="89"/>
      <c r="O41" s="89"/>
      <c r="P41" s="89"/>
    </row>
    <row r="42" spans="1:16" ht="24.75" customHeight="1" x14ac:dyDescent="0.3">
      <c r="A42" s="89"/>
      <c r="B42" s="145"/>
      <c r="C42" s="143"/>
      <c r="D42" s="144"/>
      <c r="E42" s="142"/>
      <c r="F42" s="135"/>
      <c r="G42" s="133"/>
      <c r="H42" s="134"/>
      <c r="I42" s="89"/>
      <c r="J42" s="127"/>
      <c r="K42" s="128"/>
      <c r="L42" s="89"/>
      <c r="M42" s="89"/>
      <c r="N42" s="89"/>
      <c r="O42" s="89"/>
      <c r="P42" s="89"/>
    </row>
    <row r="43" spans="1:16" ht="28.5" customHeight="1" x14ac:dyDescent="0.3">
      <c r="A43" s="89"/>
      <c r="B43" s="145" t="s">
        <v>70</v>
      </c>
      <c r="C43" s="143" t="s">
        <v>335</v>
      </c>
      <c r="D43" s="144"/>
      <c r="E43" s="135" t="s">
        <v>322</v>
      </c>
      <c r="F43" s="144"/>
      <c r="G43" s="133"/>
      <c r="H43" s="134"/>
      <c r="I43" s="89"/>
      <c r="J43" s="127"/>
      <c r="K43" s="128"/>
      <c r="L43" s="89"/>
      <c r="M43" s="89"/>
      <c r="N43" s="89"/>
    </row>
    <row r="44" spans="1:16" ht="15.75" x14ac:dyDescent="0.25">
      <c r="A44" s="89"/>
      <c r="B44" s="145"/>
      <c r="C44" s="135"/>
      <c r="D44" s="135"/>
      <c r="E44" s="135"/>
      <c r="F44" s="135"/>
      <c r="G44" s="89"/>
      <c r="H44" s="89"/>
      <c r="I44" s="89"/>
      <c r="J44" s="89"/>
      <c r="K44" s="89"/>
      <c r="L44" s="89"/>
      <c r="M44" s="89"/>
      <c r="N44" s="89"/>
    </row>
  </sheetData>
  <mergeCells count="42">
    <mergeCell ref="A35:E35"/>
    <mergeCell ref="A36:N36"/>
    <mergeCell ref="H27:H29"/>
    <mergeCell ref="I27:I29"/>
    <mergeCell ref="G30:G31"/>
    <mergeCell ref="H30:H31"/>
    <mergeCell ref="I30:I31"/>
    <mergeCell ref="A8:N8"/>
    <mergeCell ref="A9:N9"/>
    <mergeCell ref="A10:N10"/>
    <mergeCell ref="A13:A15"/>
    <mergeCell ref="B13:B15"/>
    <mergeCell ref="C13:H13"/>
    <mergeCell ref="J13:J15"/>
    <mergeCell ref="E11:G11"/>
    <mergeCell ref="K13:K15"/>
    <mergeCell ref="L13:L15"/>
    <mergeCell ref="D14:F14"/>
    <mergeCell ref="G14:G15"/>
    <mergeCell ref="H14:H15"/>
    <mergeCell ref="I14:I15"/>
    <mergeCell ref="H1:N1"/>
    <mergeCell ref="H2:N2"/>
    <mergeCell ref="H3:N3"/>
    <mergeCell ref="H4:N4"/>
    <mergeCell ref="H5:N5"/>
    <mergeCell ref="A19:N19"/>
    <mergeCell ref="A23:E23"/>
    <mergeCell ref="A24:N24"/>
    <mergeCell ref="A26:A31"/>
    <mergeCell ref="B26:B31"/>
    <mergeCell ref="C26:C31"/>
    <mergeCell ref="D26:D31"/>
    <mergeCell ref="E26:E31"/>
    <mergeCell ref="F26:F31"/>
    <mergeCell ref="G26:I26"/>
    <mergeCell ref="J26:J31"/>
    <mergeCell ref="K26:K31"/>
    <mergeCell ref="L26:L31"/>
    <mergeCell ref="M26:M31"/>
    <mergeCell ref="N26:N31"/>
    <mergeCell ref="G27:G29"/>
  </mergeCells>
  <pageMargins left="0.7" right="0.7" top="0.75" bottom="0.75" header="0.3" footer="0.3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view="pageBreakPreview" topLeftCell="A7" zoomScale="60" zoomScaleNormal="100" workbookViewId="0">
      <selection activeCell="L16" sqref="L16"/>
    </sheetView>
  </sheetViews>
  <sheetFormatPr defaultRowHeight="15" x14ac:dyDescent="0.25"/>
  <cols>
    <col min="2" max="2" width="32.5703125" customWidth="1"/>
    <col min="3" max="3" width="9.5703125" customWidth="1"/>
    <col min="4" max="4" width="14.5703125" customWidth="1"/>
    <col min="5" max="5" width="16.28515625" bestFit="1" customWidth="1"/>
    <col min="6" max="6" width="14.140625" bestFit="1" customWidth="1"/>
    <col min="7" max="7" width="11.85546875" customWidth="1"/>
    <col min="8" max="8" width="12.42578125" customWidth="1"/>
    <col min="10" max="10" width="14.7109375" bestFit="1" customWidth="1"/>
    <col min="11" max="11" width="9.140625" customWidth="1"/>
    <col min="12" max="12" width="10.42578125" customWidth="1"/>
    <col min="13" max="13" width="9.85546875" customWidth="1"/>
    <col min="14" max="14" width="10.5703125" customWidth="1"/>
  </cols>
  <sheetData>
    <row r="1" spans="1:17" ht="18.75" x14ac:dyDescent="0.3">
      <c r="A1" s="12"/>
      <c r="B1" s="13"/>
      <c r="C1" s="14"/>
      <c r="D1" s="14"/>
      <c r="E1" s="12"/>
      <c r="F1" s="12"/>
      <c r="G1" s="14"/>
      <c r="H1" s="12"/>
      <c r="I1" s="345"/>
      <c r="J1" s="345"/>
      <c r="K1" s="345"/>
      <c r="L1" s="2"/>
      <c r="M1" s="15"/>
      <c r="N1" s="15" t="s">
        <v>0</v>
      </c>
      <c r="O1" s="15"/>
      <c r="P1" s="15"/>
      <c r="Q1" s="15"/>
    </row>
    <row r="2" spans="1:17" ht="18.75" x14ac:dyDescent="0.3">
      <c r="A2" s="12"/>
      <c r="B2" s="13"/>
      <c r="C2" s="14"/>
      <c r="D2" s="14"/>
      <c r="E2" s="12"/>
      <c r="F2" s="12"/>
      <c r="G2" s="14"/>
      <c r="H2" s="12"/>
      <c r="I2" s="16"/>
      <c r="J2" s="16"/>
      <c r="K2" s="16"/>
      <c r="L2" s="2"/>
      <c r="M2" s="15"/>
      <c r="N2" s="15"/>
      <c r="O2" s="15"/>
      <c r="P2" s="17" t="s">
        <v>1</v>
      </c>
    </row>
    <row r="3" spans="1:17" ht="18.75" x14ac:dyDescent="0.3">
      <c r="A3" s="12"/>
      <c r="B3" s="13"/>
      <c r="C3" s="14"/>
      <c r="D3" s="14"/>
      <c r="E3" s="12"/>
      <c r="F3" s="12"/>
      <c r="G3" s="14"/>
      <c r="H3" s="12"/>
      <c r="I3" s="16"/>
      <c r="J3" s="16"/>
      <c r="K3" s="16"/>
      <c r="L3" s="2"/>
      <c r="M3" s="15"/>
      <c r="N3" s="15"/>
      <c r="O3" s="15"/>
      <c r="P3" s="17" t="s">
        <v>2</v>
      </c>
    </row>
    <row r="4" spans="1:17" ht="18.75" x14ac:dyDescent="0.3">
      <c r="A4" s="12"/>
      <c r="B4" s="13"/>
      <c r="C4" s="14"/>
      <c r="D4" s="14"/>
      <c r="E4" s="12"/>
      <c r="F4" s="12"/>
      <c r="G4" s="14"/>
      <c r="H4" s="12"/>
      <c r="I4" s="16"/>
      <c r="J4" s="16"/>
      <c r="K4" s="16"/>
      <c r="L4" s="2"/>
      <c r="M4" s="15"/>
      <c r="N4" s="15"/>
      <c r="O4" s="15"/>
      <c r="P4" s="17" t="s">
        <v>3</v>
      </c>
    </row>
    <row r="5" spans="1:17" ht="18.75" x14ac:dyDescent="0.3">
      <c r="A5" s="12"/>
      <c r="B5" s="13"/>
      <c r="C5" s="14"/>
      <c r="D5" s="14"/>
      <c r="E5" s="12"/>
      <c r="F5" s="12"/>
      <c r="G5" s="14"/>
      <c r="H5" s="12"/>
      <c r="I5" s="16"/>
      <c r="J5" s="16"/>
      <c r="K5" s="16"/>
      <c r="L5" s="2"/>
      <c r="M5" s="15"/>
      <c r="N5" s="15"/>
      <c r="O5" s="15"/>
      <c r="P5" s="17" t="s">
        <v>112</v>
      </c>
    </row>
    <row r="6" spans="1:17" ht="18.75" x14ac:dyDescent="0.3">
      <c r="A6" s="346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</row>
    <row r="7" spans="1:17" ht="18.75" x14ac:dyDescent="0.25">
      <c r="A7" s="347" t="s">
        <v>72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</row>
    <row r="8" spans="1:17" ht="18.75" x14ac:dyDescent="0.3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</row>
    <row r="9" spans="1:17" ht="16.5" thickBot="1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ht="16.5" thickBot="1" x14ac:dyDescent="0.3">
      <c r="A10" s="348" t="s">
        <v>7</v>
      </c>
      <c r="B10" s="348" t="s">
        <v>8</v>
      </c>
      <c r="C10" s="351" t="s">
        <v>9</v>
      </c>
      <c r="D10" s="352"/>
      <c r="E10" s="352"/>
      <c r="F10" s="352"/>
      <c r="G10" s="353"/>
      <c r="H10" s="354"/>
      <c r="I10" s="351" t="s">
        <v>10</v>
      </c>
      <c r="J10" s="354"/>
      <c r="K10" s="348" t="s">
        <v>11</v>
      </c>
      <c r="L10" s="355" t="s">
        <v>12</v>
      </c>
      <c r="M10" s="355" t="s">
        <v>13</v>
      </c>
      <c r="N10" s="1"/>
      <c r="O10" s="1"/>
      <c r="P10" s="1"/>
      <c r="Q10" s="1"/>
    </row>
    <row r="11" spans="1:17" ht="48" thickBot="1" x14ac:dyDescent="0.3">
      <c r="A11" s="349"/>
      <c r="B11" s="349"/>
      <c r="C11" s="19" t="s">
        <v>14</v>
      </c>
      <c r="D11" s="360" t="s">
        <v>15</v>
      </c>
      <c r="E11" s="361"/>
      <c r="F11" s="362"/>
      <c r="G11" s="363" t="s">
        <v>16</v>
      </c>
      <c r="H11" s="348" t="s">
        <v>17</v>
      </c>
      <c r="I11" s="348" t="s">
        <v>18</v>
      </c>
      <c r="J11" s="348" t="s">
        <v>19</v>
      </c>
      <c r="K11" s="349"/>
      <c r="L11" s="356"/>
      <c r="M11" s="358"/>
      <c r="N11" s="1"/>
      <c r="O11" s="1"/>
      <c r="P11" s="1"/>
      <c r="Q11" s="1"/>
    </row>
    <row r="12" spans="1:17" ht="95.25" thickBot="1" x14ac:dyDescent="0.3">
      <c r="A12" s="350"/>
      <c r="B12" s="350"/>
      <c r="C12" s="20" t="s">
        <v>20</v>
      </c>
      <c r="D12" s="21" t="s">
        <v>21</v>
      </c>
      <c r="E12" s="22" t="s">
        <v>22</v>
      </c>
      <c r="F12" s="22" t="s">
        <v>23</v>
      </c>
      <c r="G12" s="364"/>
      <c r="H12" s="350"/>
      <c r="I12" s="350"/>
      <c r="J12" s="350"/>
      <c r="K12" s="350"/>
      <c r="L12" s="357"/>
      <c r="M12" s="359"/>
      <c r="N12" s="1"/>
      <c r="O12" s="1"/>
      <c r="P12" s="1"/>
      <c r="Q12" s="1"/>
    </row>
    <row r="13" spans="1:17" ht="15.75" x14ac:dyDescent="0.25">
      <c r="A13" s="23">
        <v>1</v>
      </c>
      <c r="B13" s="24">
        <v>2</v>
      </c>
      <c r="C13" s="25">
        <v>3</v>
      </c>
      <c r="D13" s="25">
        <v>4</v>
      </c>
      <c r="E13" s="26">
        <v>5</v>
      </c>
      <c r="F13" s="26">
        <v>6</v>
      </c>
      <c r="G13" s="25">
        <v>6</v>
      </c>
      <c r="H13" s="26">
        <v>7</v>
      </c>
      <c r="I13" s="26">
        <v>8</v>
      </c>
      <c r="J13" s="26">
        <v>9</v>
      </c>
      <c r="K13" s="26">
        <v>10</v>
      </c>
      <c r="L13" s="27">
        <v>11</v>
      </c>
      <c r="M13" s="28">
        <v>12</v>
      </c>
      <c r="N13" s="1"/>
      <c r="O13" s="1"/>
      <c r="P13" s="1"/>
      <c r="Q13" s="1"/>
    </row>
    <row r="14" spans="1:17" ht="49.5" customHeight="1" thickBot="1" x14ac:dyDescent="0.3">
      <c r="A14" s="29">
        <v>1</v>
      </c>
      <c r="B14" s="30" t="s">
        <v>24</v>
      </c>
      <c r="C14" s="31">
        <f>F21</f>
        <v>1375</v>
      </c>
      <c r="D14" s="31">
        <f>$N$38</f>
        <v>1686.0514359884894</v>
      </c>
      <c r="E14" s="31">
        <f>D14*11%</f>
        <v>185.46565795873383</v>
      </c>
      <c r="F14" s="31"/>
      <c r="G14" s="31">
        <f>L42</f>
        <v>2195.0304878048782</v>
      </c>
      <c r="H14" s="31">
        <f>C14+D14+E14+G14</f>
        <v>5441.5475817521019</v>
      </c>
      <c r="I14" s="32">
        <f>Смета!E21</f>
        <v>0.10000021516836566</v>
      </c>
      <c r="J14" s="31">
        <f>D14*I14</f>
        <v>168.60550638378083</v>
      </c>
      <c r="K14" s="31">
        <f>H14+J14</f>
        <v>5610.1530881358831</v>
      </c>
      <c r="L14" s="33">
        <f>(K14*15%)</f>
        <v>841.52296322038239</v>
      </c>
      <c r="M14" s="34">
        <f>K14+L14</f>
        <v>6451.6760513562658</v>
      </c>
      <c r="N14" s="2"/>
      <c r="O14" s="2"/>
      <c r="P14" s="2"/>
      <c r="Q14" s="2"/>
    </row>
    <row r="15" spans="1:17" ht="48" thickBot="1" x14ac:dyDescent="0.3">
      <c r="A15" s="29">
        <v>1</v>
      </c>
      <c r="B15" s="30" t="s">
        <v>25</v>
      </c>
      <c r="C15" s="31">
        <f>F25</f>
        <v>7847.2</v>
      </c>
      <c r="D15" s="104">
        <f>$N$38</f>
        <v>1686.0514359884894</v>
      </c>
      <c r="E15" s="31">
        <f>D15*11%</f>
        <v>185.46565795873383</v>
      </c>
      <c r="F15" s="31"/>
      <c r="G15" s="31">
        <f>L42</f>
        <v>2195.0304878048782</v>
      </c>
      <c r="H15" s="31">
        <v>13559.708719291932</v>
      </c>
      <c r="I15" s="32">
        <f>I14</f>
        <v>0.10000021516836566</v>
      </c>
      <c r="J15" s="104">
        <f>D15*I15</f>
        <v>168.60550638378083</v>
      </c>
      <c r="K15" s="31">
        <f>H15+J15</f>
        <v>13728.314225675713</v>
      </c>
      <c r="L15" s="33">
        <f>(K15*15%)</f>
        <v>2059.2471338513569</v>
      </c>
      <c r="M15" s="34">
        <f>K15+L15</f>
        <v>15787.56135952707</v>
      </c>
      <c r="N15" s="2"/>
      <c r="O15" s="2"/>
      <c r="P15" s="2"/>
      <c r="Q15" s="2"/>
    </row>
    <row r="16" spans="1:17" x14ac:dyDescent="0.25">
      <c r="A16" s="35"/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2"/>
      <c r="M16" s="2"/>
      <c r="N16" s="2"/>
      <c r="O16" s="2"/>
      <c r="P16" s="2"/>
      <c r="Q16" s="2"/>
    </row>
    <row r="17" spans="1:17" ht="18.75" x14ac:dyDescent="0.25">
      <c r="A17" s="318" t="s">
        <v>26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</row>
    <row r="18" spans="1:17" ht="15.75" thickBot="1" x14ac:dyDescent="0.3">
      <c r="A18" s="38"/>
      <c r="B18" s="39"/>
      <c r="C18" s="40"/>
      <c r="D18" s="40"/>
      <c r="E18" s="41"/>
      <c r="F18" s="41"/>
      <c r="G18" s="40"/>
      <c r="H18" s="41"/>
      <c r="I18" s="42"/>
      <c r="J18" s="41"/>
      <c r="K18" s="41"/>
      <c r="L18" s="1"/>
      <c r="M18" s="1"/>
      <c r="N18" s="1"/>
      <c r="O18" s="1"/>
      <c r="P18" s="1"/>
      <c r="Q18" s="1"/>
    </row>
    <row r="19" spans="1:17" ht="74.25" customHeight="1" thickBot="1" x14ac:dyDescent="0.3">
      <c r="A19" s="43" t="s">
        <v>7</v>
      </c>
      <c r="B19" s="44" t="s">
        <v>27</v>
      </c>
      <c r="C19" s="44" t="s">
        <v>28</v>
      </c>
      <c r="D19" s="44" t="s">
        <v>29</v>
      </c>
      <c r="E19" s="45" t="s">
        <v>30</v>
      </c>
      <c r="F19" s="44" t="s">
        <v>31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61">
        <v>1</v>
      </c>
      <c r="B20" s="46" t="s">
        <v>32</v>
      </c>
      <c r="C20" s="62">
        <v>1</v>
      </c>
      <c r="D20" s="47">
        <v>1375</v>
      </c>
      <c r="E20" s="48">
        <v>1</v>
      </c>
      <c r="F20" s="63">
        <f>D20*E20</f>
        <v>1375</v>
      </c>
      <c r="G20" s="49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thickBot="1" x14ac:dyDescent="0.3">
      <c r="A21" s="323" t="s">
        <v>33</v>
      </c>
      <c r="B21" s="324"/>
      <c r="C21" s="324"/>
      <c r="D21" s="324"/>
      <c r="E21" s="325"/>
      <c r="F21" s="85">
        <f>F20</f>
        <v>1375</v>
      </c>
      <c r="G21" s="49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76">
        <v>1</v>
      </c>
      <c r="B22" s="77" t="s">
        <v>32</v>
      </c>
      <c r="C22" s="78">
        <v>1</v>
      </c>
      <c r="D22" s="79">
        <v>1375</v>
      </c>
      <c r="E22" s="80">
        <v>1</v>
      </c>
      <c r="F22" s="81">
        <f>D22*E22</f>
        <v>1375</v>
      </c>
      <c r="G22" s="49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82">
        <v>2</v>
      </c>
      <c r="B23" s="64" t="s">
        <v>34</v>
      </c>
      <c r="C23" s="65">
        <v>1</v>
      </c>
      <c r="D23" s="66">
        <v>5072.2</v>
      </c>
      <c r="E23" s="67">
        <v>1</v>
      </c>
      <c r="F23" s="83">
        <f t="shared" ref="F23:F24" si="0">D23*E23</f>
        <v>5072.2</v>
      </c>
      <c r="G23" s="49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82">
        <v>3</v>
      </c>
      <c r="B24" s="64" t="s">
        <v>35</v>
      </c>
      <c r="C24" s="65">
        <v>1</v>
      </c>
      <c r="D24" s="66">
        <v>1400</v>
      </c>
      <c r="E24" s="67">
        <v>1</v>
      </c>
      <c r="F24" s="83">
        <f t="shared" si="0"/>
        <v>1400</v>
      </c>
      <c r="G24" s="49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thickBot="1" x14ac:dyDescent="0.3">
      <c r="A25" s="326" t="s">
        <v>36</v>
      </c>
      <c r="B25" s="327"/>
      <c r="C25" s="327"/>
      <c r="D25" s="327"/>
      <c r="E25" s="327"/>
      <c r="F25" s="84">
        <f>SUM(F22:F24)</f>
        <v>7847.2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89" customFormat="1" ht="18.75" x14ac:dyDescent="0.25">
      <c r="A26" s="328" t="s">
        <v>37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</row>
    <row r="27" spans="1:17" s="89" customFormat="1" ht="19.5" thickBot="1" x14ac:dyDescent="0.3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 t="s">
        <v>38</v>
      </c>
    </row>
    <row r="28" spans="1:17" s="89" customFormat="1" ht="15.75" customHeight="1" thickBot="1" x14ac:dyDescent="0.3">
      <c r="A28" s="319" t="s">
        <v>7</v>
      </c>
      <c r="B28" s="319" t="s">
        <v>39</v>
      </c>
      <c r="C28" s="337" t="s">
        <v>40</v>
      </c>
      <c r="D28" s="337" t="s">
        <v>41</v>
      </c>
      <c r="E28" s="337" t="s">
        <v>102</v>
      </c>
      <c r="F28" s="319" t="s">
        <v>43</v>
      </c>
      <c r="G28" s="340" t="s">
        <v>188</v>
      </c>
      <c r="H28" s="341"/>
      <c r="I28" s="342"/>
      <c r="J28" s="315" t="s">
        <v>44</v>
      </c>
      <c r="K28" s="319" t="s">
        <v>45</v>
      </c>
      <c r="L28" s="319" t="s">
        <v>46</v>
      </c>
      <c r="M28" s="319" t="s">
        <v>47</v>
      </c>
      <c r="N28" s="319" t="s">
        <v>48</v>
      </c>
    </row>
    <row r="29" spans="1:17" s="89" customFormat="1" ht="15" customHeight="1" x14ac:dyDescent="0.25">
      <c r="A29" s="320"/>
      <c r="B29" s="320"/>
      <c r="C29" s="338"/>
      <c r="D29" s="338"/>
      <c r="E29" s="338"/>
      <c r="F29" s="320"/>
      <c r="G29" s="315" t="s">
        <v>49</v>
      </c>
      <c r="H29" s="315" t="s">
        <v>50</v>
      </c>
      <c r="I29" s="332" t="s">
        <v>187</v>
      </c>
      <c r="J29" s="316"/>
      <c r="K29" s="320"/>
      <c r="L29" s="320"/>
      <c r="M29" s="320"/>
      <c r="N29" s="320"/>
    </row>
    <row r="30" spans="1:17" s="89" customFormat="1" x14ac:dyDescent="0.25">
      <c r="A30" s="320"/>
      <c r="B30" s="320"/>
      <c r="C30" s="338"/>
      <c r="D30" s="338"/>
      <c r="E30" s="338"/>
      <c r="F30" s="320"/>
      <c r="G30" s="316"/>
      <c r="H30" s="316"/>
      <c r="I30" s="320"/>
      <c r="J30" s="316"/>
      <c r="K30" s="320"/>
      <c r="L30" s="320"/>
      <c r="M30" s="320"/>
      <c r="N30" s="320"/>
    </row>
    <row r="31" spans="1:17" s="89" customFormat="1" ht="15.75" thickBot="1" x14ac:dyDescent="0.3">
      <c r="A31" s="320"/>
      <c r="B31" s="320"/>
      <c r="C31" s="338"/>
      <c r="D31" s="338"/>
      <c r="E31" s="338"/>
      <c r="F31" s="320"/>
      <c r="G31" s="317"/>
      <c r="H31" s="317"/>
      <c r="I31" s="321"/>
      <c r="J31" s="316"/>
      <c r="K31" s="320"/>
      <c r="L31" s="320"/>
      <c r="M31" s="320"/>
      <c r="N31" s="320"/>
    </row>
    <row r="32" spans="1:17" s="89" customFormat="1" x14ac:dyDescent="0.25">
      <c r="A32" s="320"/>
      <c r="B32" s="320"/>
      <c r="C32" s="338"/>
      <c r="D32" s="338"/>
      <c r="E32" s="338"/>
      <c r="F32" s="320"/>
      <c r="G32" s="343" t="s">
        <v>19</v>
      </c>
      <c r="H32" s="333" t="s">
        <v>19</v>
      </c>
      <c r="I32" s="335" t="s">
        <v>19</v>
      </c>
      <c r="J32" s="316"/>
      <c r="K32" s="320"/>
      <c r="L32" s="320"/>
      <c r="M32" s="320"/>
      <c r="N32" s="320"/>
    </row>
    <row r="33" spans="1:17" s="89" customFormat="1" ht="15.75" thickBot="1" x14ac:dyDescent="0.3">
      <c r="A33" s="321"/>
      <c r="B33" s="321"/>
      <c r="C33" s="339"/>
      <c r="D33" s="339"/>
      <c r="E33" s="339"/>
      <c r="F33" s="321"/>
      <c r="G33" s="344"/>
      <c r="H33" s="334"/>
      <c r="I33" s="336"/>
      <c r="J33" s="317"/>
      <c r="K33" s="321"/>
      <c r="L33" s="321"/>
      <c r="M33" s="321"/>
      <c r="N33" s="321"/>
    </row>
    <row r="34" spans="1:17" s="89" customFormat="1" ht="13.5" customHeight="1" x14ac:dyDescent="0.25">
      <c r="A34" s="111">
        <v>1</v>
      </c>
      <c r="B34" s="112">
        <v>2</v>
      </c>
      <c r="C34" s="113">
        <v>3</v>
      </c>
      <c r="D34" s="113">
        <v>4</v>
      </c>
      <c r="E34" s="113">
        <v>5</v>
      </c>
      <c r="F34" s="113">
        <v>6</v>
      </c>
      <c r="G34" s="113">
        <v>9</v>
      </c>
      <c r="H34" s="113">
        <v>11</v>
      </c>
      <c r="I34" s="51">
        <v>13</v>
      </c>
      <c r="J34" s="114">
        <v>14</v>
      </c>
      <c r="K34" s="114">
        <v>15</v>
      </c>
      <c r="L34" s="114">
        <v>16</v>
      </c>
      <c r="M34" s="113">
        <v>17</v>
      </c>
      <c r="N34" s="115">
        <v>18</v>
      </c>
    </row>
    <row r="35" spans="1:17" s="89" customFormat="1" x14ac:dyDescent="0.25">
      <c r="A35" s="229">
        <v>1</v>
      </c>
      <c r="B35" s="230" t="s">
        <v>200</v>
      </c>
      <c r="C35" s="229" t="s">
        <v>103</v>
      </c>
      <c r="D35" s="229">
        <v>4.3499999999999996</v>
      </c>
      <c r="E35" s="117">
        <v>17697</v>
      </c>
      <c r="F35" s="117">
        <f>D35*E35*2.02</f>
        <v>155503.53899999999</v>
      </c>
      <c r="G35" s="231"/>
      <c r="H35" s="117">
        <f>E35*150%</f>
        <v>26545.5</v>
      </c>
      <c r="I35" s="117">
        <f>F35*10%</f>
        <v>15550.3539</v>
      </c>
      <c r="J35" s="117">
        <f t="shared" ref="J35" si="1">F35+G35+H35+I35</f>
        <v>197599.39289999998</v>
      </c>
      <c r="K35" s="117">
        <f>J35/163.33</f>
        <v>1209.8168915692154</v>
      </c>
      <c r="L35" s="117">
        <f>K35/60</f>
        <v>20.163614859486923</v>
      </c>
      <c r="M35" s="117">
        <v>40</v>
      </c>
      <c r="N35" s="219">
        <f>L35*M35</f>
        <v>806.54459437947696</v>
      </c>
    </row>
    <row r="36" spans="1:17" s="226" customFormat="1" x14ac:dyDescent="0.25">
      <c r="A36" s="229">
        <v>2</v>
      </c>
      <c r="B36" s="230" t="s">
        <v>53</v>
      </c>
      <c r="C36" s="229" t="s">
        <v>106</v>
      </c>
      <c r="D36" s="229">
        <v>4.46</v>
      </c>
      <c r="E36" s="117">
        <v>17697</v>
      </c>
      <c r="F36" s="117">
        <f>D36*E36*1.63</f>
        <v>128653.65059999998</v>
      </c>
      <c r="G36" s="231"/>
      <c r="H36" s="117">
        <f>E36*100%</f>
        <v>17697</v>
      </c>
      <c r="I36" s="117">
        <f>F36*10%</f>
        <v>12865.365059999998</v>
      </c>
      <c r="J36" s="117">
        <f>F36+G36+H36+I36</f>
        <v>159216.01566</v>
      </c>
      <c r="K36" s="117">
        <f>J36/163.33</f>
        <v>974.81182673115768</v>
      </c>
      <c r="L36" s="117">
        <f>K36/60</f>
        <v>16.246863778852628</v>
      </c>
      <c r="M36" s="117">
        <v>40</v>
      </c>
      <c r="N36" s="219">
        <f>L36*M36</f>
        <v>649.87455115410512</v>
      </c>
    </row>
    <row r="37" spans="1:17" s="89" customFormat="1" ht="15.75" thickBot="1" x14ac:dyDescent="0.3">
      <c r="A37" s="234">
        <v>3</v>
      </c>
      <c r="B37" s="235" t="s">
        <v>186</v>
      </c>
      <c r="C37" s="234" t="s">
        <v>103</v>
      </c>
      <c r="D37" s="234">
        <v>2.89</v>
      </c>
      <c r="E37" s="236">
        <v>17697</v>
      </c>
      <c r="F37" s="236">
        <f t="shared" ref="F37" si="2">D37*E37</f>
        <v>51144.33</v>
      </c>
      <c r="G37" s="237"/>
      <c r="H37" s="236"/>
      <c r="I37" s="236">
        <f t="shared" ref="I37" si="3">F37*10%</f>
        <v>5114.4330000000009</v>
      </c>
      <c r="J37" s="236">
        <f t="shared" ref="J37" si="4">F37+G37+H37+I37</f>
        <v>56258.763000000006</v>
      </c>
      <c r="K37" s="236">
        <f t="shared" ref="K37" si="5">J37/163.33</f>
        <v>344.44843568236087</v>
      </c>
      <c r="L37" s="236">
        <f t="shared" ref="L37" si="6">K37/60</f>
        <v>5.740807261372681</v>
      </c>
      <c r="M37" s="236">
        <v>40</v>
      </c>
      <c r="N37" s="238">
        <f t="shared" ref="N37" si="7">L37*M37</f>
        <v>229.63229045490723</v>
      </c>
    </row>
    <row r="38" spans="1:17" s="89" customFormat="1" ht="15.75" thickBot="1" x14ac:dyDescent="0.3">
      <c r="A38" s="329" t="s">
        <v>194</v>
      </c>
      <c r="B38" s="330"/>
      <c r="C38" s="330"/>
      <c r="D38" s="330"/>
      <c r="E38" s="331"/>
      <c r="F38" s="239"/>
      <c r="G38" s="239"/>
      <c r="H38" s="239"/>
      <c r="I38" s="239"/>
      <c r="J38" s="239"/>
      <c r="K38" s="239"/>
      <c r="L38" s="239"/>
      <c r="M38" s="239"/>
      <c r="N38" s="240">
        <f>SUM(N35:N37)</f>
        <v>1686.0514359884894</v>
      </c>
    </row>
    <row r="40" spans="1:17" ht="19.5" thickBot="1" x14ac:dyDescent="0.3">
      <c r="A40" s="322" t="s">
        <v>16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</row>
    <row r="41" spans="1:17" ht="77.25" thickBot="1" x14ac:dyDescent="0.3">
      <c r="A41" s="3" t="s">
        <v>7</v>
      </c>
      <c r="B41" s="4" t="s">
        <v>55</v>
      </c>
      <c r="C41" s="5" t="s">
        <v>56</v>
      </c>
      <c r="D41" s="6" t="s">
        <v>57</v>
      </c>
      <c r="E41" s="4" t="s">
        <v>58</v>
      </c>
      <c r="F41" s="7" t="s">
        <v>59</v>
      </c>
      <c r="G41" s="8" t="s">
        <v>60</v>
      </c>
      <c r="H41" s="4" t="s">
        <v>61</v>
      </c>
      <c r="I41" s="4" t="s">
        <v>62</v>
      </c>
      <c r="J41" s="9" t="s">
        <v>63</v>
      </c>
      <c r="K41" s="10" t="s">
        <v>64</v>
      </c>
      <c r="L41" s="11" t="s">
        <v>65</v>
      </c>
      <c r="M41" s="1"/>
      <c r="N41" s="1"/>
      <c r="O41" s="1"/>
      <c r="P41" s="1"/>
      <c r="Q41" s="1"/>
    </row>
    <row r="42" spans="1:17" ht="25.5" x14ac:dyDescent="0.25">
      <c r="A42" s="124"/>
      <c r="B42" s="125" t="s">
        <v>66</v>
      </c>
      <c r="C42" s="91">
        <v>1</v>
      </c>
      <c r="D42" s="92">
        <v>2013</v>
      </c>
      <c r="E42" s="93">
        <v>239990000</v>
      </c>
      <c r="F42" s="93">
        <f>E42*70%</f>
        <v>167993000</v>
      </c>
      <c r="G42" s="136">
        <v>0.1</v>
      </c>
      <c r="H42" s="93">
        <f>E42-F42</f>
        <v>71997000</v>
      </c>
      <c r="I42" s="93">
        <f>H42*G42/100</f>
        <v>71997</v>
      </c>
      <c r="J42" s="93">
        <f>I42/1968</f>
        <v>36.583841463414636</v>
      </c>
      <c r="K42" s="93">
        <v>60</v>
      </c>
      <c r="L42" s="126">
        <f>J42*K42</f>
        <v>2195.0304878048782</v>
      </c>
      <c r="M42" s="86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6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8.75" x14ac:dyDescent="0.3">
      <c r="A44" s="1"/>
      <c r="B44" s="55"/>
      <c r="C44" s="56"/>
      <c r="D44" s="57"/>
      <c r="E44" s="68"/>
      <c r="F44" s="1"/>
      <c r="G44" s="58"/>
      <c r="H44" s="59"/>
      <c r="I44" s="1"/>
      <c r="J44" s="52"/>
      <c r="K44" s="53"/>
      <c r="L44" s="1"/>
      <c r="M44" s="1"/>
      <c r="N44" s="1"/>
      <c r="O44" s="1"/>
      <c r="P44" s="1"/>
      <c r="Q44" s="1"/>
    </row>
    <row r="45" spans="1:17" ht="18.75" x14ac:dyDescent="0.3">
      <c r="A45" s="1"/>
      <c r="B45" s="70" t="s">
        <v>67</v>
      </c>
      <c r="C45" s="70" t="s">
        <v>68</v>
      </c>
      <c r="D45" s="71"/>
      <c r="E45" s="69" t="s">
        <v>69</v>
      </c>
      <c r="F45" s="60"/>
      <c r="G45" s="58"/>
      <c r="H45" s="59"/>
      <c r="I45" s="1"/>
      <c r="J45" s="52"/>
      <c r="K45" s="53"/>
      <c r="L45" s="1"/>
      <c r="M45" s="1"/>
      <c r="N45" s="1"/>
      <c r="O45" s="1"/>
      <c r="P45" s="1"/>
      <c r="Q45" s="1"/>
    </row>
    <row r="46" spans="1:17" ht="18.75" x14ac:dyDescent="0.3">
      <c r="A46" s="1"/>
      <c r="B46" s="72"/>
      <c r="C46" s="70"/>
      <c r="D46" s="71"/>
      <c r="E46" s="69"/>
      <c r="F46" s="60"/>
      <c r="G46" s="58"/>
      <c r="H46" s="59"/>
      <c r="I46" s="1"/>
      <c r="J46" s="52"/>
      <c r="K46" s="53"/>
      <c r="L46" s="1"/>
      <c r="M46" s="1"/>
      <c r="N46" s="1"/>
      <c r="O46" s="1"/>
      <c r="P46" s="1"/>
      <c r="Q46" s="1"/>
    </row>
    <row r="47" spans="1:17" ht="18.75" x14ac:dyDescent="0.3">
      <c r="A47" s="1"/>
      <c r="B47" s="72" t="s">
        <v>70</v>
      </c>
      <c r="C47" s="70" t="s">
        <v>68</v>
      </c>
      <c r="D47" s="71"/>
      <c r="E47" s="60" t="s">
        <v>71</v>
      </c>
      <c r="F47" s="71"/>
      <c r="G47" s="58"/>
      <c r="H47" s="59"/>
      <c r="I47" s="1"/>
      <c r="J47" s="52"/>
      <c r="K47" s="53"/>
      <c r="L47" s="1"/>
      <c r="M47" s="1"/>
      <c r="N47" s="1"/>
      <c r="O47" s="1"/>
      <c r="P47" s="1"/>
      <c r="Q47" s="1"/>
    </row>
    <row r="48" spans="1:17" ht="15.75" x14ac:dyDescent="0.25">
      <c r="A48" s="1"/>
      <c r="B48" s="72"/>
      <c r="C48" s="60"/>
      <c r="D48" s="60"/>
      <c r="E48" s="60"/>
      <c r="F48" s="6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6" ht="15.75" x14ac:dyDescent="0.25">
      <c r="B49" s="60"/>
      <c r="C49" s="70"/>
      <c r="D49" s="60"/>
      <c r="E49" s="60"/>
      <c r="F49" s="60"/>
    </row>
    <row r="50" spans="2:6" ht="15.75" x14ac:dyDescent="0.25">
      <c r="B50" s="60"/>
      <c r="C50" s="54"/>
      <c r="D50" s="54"/>
      <c r="E50" s="54"/>
      <c r="F50" s="1"/>
    </row>
  </sheetData>
  <mergeCells count="40">
    <mergeCell ref="I1:K1"/>
    <mergeCell ref="A6:Q6"/>
    <mergeCell ref="A7:Q7"/>
    <mergeCell ref="A8:Q8"/>
    <mergeCell ref="A10:A12"/>
    <mergeCell ref="B10:B12"/>
    <mergeCell ref="C10:H10"/>
    <mergeCell ref="I10:J10"/>
    <mergeCell ref="K10:K12"/>
    <mergeCell ref="L10:L12"/>
    <mergeCell ref="M10:M12"/>
    <mergeCell ref="D11:F11"/>
    <mergeCell ref="G11:G12"/>
    <mergeCell ref="H11:H12"/>
    <mergeCell ref="I11:I12"/>
    <mergeCell ref="J11:J12"/>
    <mergeCell ref="H32:H33"/>
    <mergeCell ref="I32:I33"/>
    <mergeCell ref="F28:F33"/>
    <mergeCell ref="C28:C33"/>
    <mergeCell ref="D28:D33"/>
    <mergeCell ref="E28:E33"/>
    <mergeCell ref="G28:I28"/>
    <mergeCell ref="G32:G33"/>
    <mergeCell ref="J28:J33"/>
    <mergeCell ref="A17:Q17"/>
    <mergeCell ref="K28:K33"/>
    <mergeCell ref="L28:L33"/>
    <mergeCell ref="A40:Q40"/>
    <mergeCell ref="A21:E21"/>
    <mergeCell ref="A25:E25"/>
    <mergeCell ref="A26:N26"/>
    <mergeCell ref="A28:A33"/>
    <mergeCell ref="B28:B33"/>
    <mergeCell ref="A38:E38"/>
    <mergeCell ref="M28:M33"/>
    <mergeCell ref="N28:N33"/>
    <mergeCell ref="G29:G31"/>
    <mergeCell ref="H29:H31"/>
    <mergeCell ref="I29:I31"/>
  </mergeCells>
  <pageMargins left="0.70866141732283472" right="0" top="0" bottom="0" header="0.31496062992125984" footer="0.31496062992125984"/>
  <pageSetup paperSize="9" scale="4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activeCell="E44" sqref="E44"/>
    </sheetView>
  </sheetViews>
  <sheetFormatPr defaultRowHeight="15" x14ac:dyDescent="0.25"/>
  <cols>
    <col min="1" max="1" width="14.5703125" customWidth="1"/>
    <col min="2" max="2" width="21.7109375" customWidth="1"/>
    <col min="3" max="3" width="20" customWidth="1"/>
    <col min="4" max="4" width="20.28515625" customWidth="1"/>
    <col min="5" max="5" width="17.140625" customWidth="1"/>
    <col min="7" max="7" width="18.28515625" customWidth="1"/>
    <col min="8" max="8" width="14.7109375" customWidth="1"/>
    <col min="11" max="11" width="15.5703125" customWidth="1"/>
    <col min="12" max="12" width="12.140625" customWidth="1"/>
    <col min="13" max="13" width="12.7109375" customWidth="1"/>
  </cols>
  <sheetData>
    <row r="1" spans="1:19" ht="18.75" x14ac:dyDescent="0.3">
      <c r="A1" s="94"/>
      <c r="B1" s="95"/>
      <c r="C1" s="96"/>
      <c r="D1" s="96"/>
      <c r="E1" s="94"/>
      <c r="F1" s="94"/>
      <c r="G1" s="96"/>
      <c r="H1" s="94"/>
      <c r="I1" s="345"/>
      <c r="J1" s="345"/>
      <c r="K1" s="345"/>
      <c r="L1" s="90"/>
      <c r="M1" s="97"/>
      <c r="N1" s="97" t="s">
        <v>0</v>
      </c>
      <c r="O1" s="97"/>
      <c r="P1" s="97"/>
      <c r="Q1" s="97"/>
      <c r="R1" s="89"/>
      <c r="S1" s="89"/>
    </row>
    <row r="2" spans="1:19" ht="18.75" x14ac:dyDescent="0.3">
      <c r="A2" s="94"/>
      <c r="B2" s="95"/>
      <c r="C2" s="96"/>
      <c r="D2" s="96"/>
      <c r="E2" s="94"/>
      <c r="F2" s="94"/>
      <c r="G2" s="96"/>
      <c r="H2" s="94"/>
      <c r="I2" s="291"/>
      <c r="J2" s="291"/>
      <c r="K2" s="291"/>
      <c r="L2" s="90"/>
      <c r="M2" s="97"/>
      <c r="N2" s="97"/>
      <c r="O2" s="97"/>
      <c r="P2" s="97"/>
      <c r="Q2" s="293" t="s">
        <v>307</v>
      </c>
      <c r="R2" s="89"/>
      <c r="S2" s="89"/>
    </row>
    <row r="3" spans="1:19" ht="18.75" x14ac:dyDescent="0.3">
      <c r="A3" s="94"/>
      <c r="B3" s="95"/>
      <c r="C3" s="96"/>
      <c r="D3" s="96"/>
      <c r="E3" s="94"/>
      <c r="F3" s="94"/>
      <c r="G3" s="96"/>
      <c r="H3" s="94"/>
      <c r="I3" s="291"/>
      <c r="J3" s="291"/>
      <c r="K3" s="291"/>
      <c r="L3" s="90"/>
      <c r="M3" s="97"/>
      <c r="N3" s="97"/>
      <c r="O3" s="97"/>
      <c r="P3" s="97"/>
      <c r="Q3" s="293" t="s">
        <v>2</v>
      </c>
      <c r="R3" s="89"/>
      <c r="S3" s="89"/>
    </row>
    <row r="4" spans="1:19" ht="18.75" x14ac:dyDescent="0.3">
      <c r="A4" s="94"/>
      <c r="B4" s="95"/>
      <c r="C4" s="96"/>
      <c r="D4" s="96"/>
      <c r="E4" s="94"/>
      <c r="F4" s="94"/>
      <c r="G4" s="96"/>
      <c r="H4" s="94"/>
      <c r="I4" s="291"/>
      <c r="J4" s="291"/>
      <c r="K4" s="291"/>
      <c r="L4" s="90"/>
      <c r="M4" s="97"/>
      <c r="N4" s="97"/>
      <c r="O4" s="97"/>
      <c r="P4" s="97"/>
      <c r="Q4" s="293" t="s">
        <v>3</v>
      </c>
      <c r="R4" s="89"/>
      <c r="S4" s="89"/>
    </row>
    <row r="5" spans="1:19" ht="18.75" x14ac:dyDescent="0.3">
      <c r="A5" s="94"/>
      <c r="B5" s="95"/>
      <c r="C5" s="96"/>
      <c r="D5" s="96"/>
      <c r="E5" s="94"/>
      <c r="F5" s="94"/>
      <c r="G5" s="96"/>
      <c r="H5" s="94"/>
      <c r="I5" s="291"/>
      <c r="J5" s="291"/>
      <c r="K5" s="291"/>
      <c r="L5" s="90"/>
      <c r="M5" s="97"/>
      <c r="N5" s="97"/>
      <c r="O5" s="97"/>
      <c r="P5" s="97"/>
      <c r="Q5" s="293" t="s">
        <v>338</v>
      </c>
      <c r="R5" s="89"/>
      <c r="S5" s="89"/>
    </row>
    <row r="6" spans="1:19" ht="18.75" x14ac:dyDescent="0.3">
      <c r="A6" s="346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89"/>
      <c r="S6" s="89"/>
    </row>
    <row r="7" spans="1:19" ht="18.75" x14ac:dyDescent="0.25">
      <c r="A7" s="347" t="s">
        <v>312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89"/>
      <c r="S7" s="89"/>
    </row>
    <row r="8" spans="1:19" ht="18.75" x14ac:dyDescent="0.3">
      <c r="A8" s="346" t="s">
        <v>345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89"/>
      <c r="S8" s="89"/>
    </row>
    <row r="9" spans="1:19" ht="16.5" thickBot="1" x14ac:dyDescent="0.3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89"/>
      <c r="S9" s="89"/>
    </row>
    <row r="10" spans="1:19" ht="16.5" thickBot="1" x14ac:dyDescent="0.3">
      <c r="A10" s="348" t="s">
        <v>7</v>
      </c>
      <c r="B10" s="348" t="s">
        <v>8</v>
      </c>
      <c r="C10" s="351" t="s">
        <v>9</v>
      </c>
      <c r="D10" s="352"/>
      <c r="E10" s="352"/>
      <c r="F10" s="352"/>
      <c r="G10" s="353"/>
      <c r="H10" s="354"/>
      <c r="I10" s="351" t="s">
        <v>10</v>
      </c>
      <c r="J10" s="354"/>
      <c r="K10" s="348" t="s">
        <v>11</v>
      </c>
      <c r="L10" s="355" t="s">
        <v>12</v>
      </c>
      <c r="M10" s="355" t="s">
        <v>13</v>
      </c>
      <c r="N10" s="89"/>
      <c r="O10" s="89"/>
      <c r="P10" s="89"/>
      <c r="Q10" s="89"/>
      <c r="R10" s="89"/>
      <c r="S10" s="89"/>
    </row>
    <row r="11" spans="1:19" ht="32.25" thickBot="1" x14ac:dyDescent="0.3">
      <c r="A11" s="349"/>
      <c r="B11" s="349"/>
      <c r="C11" s="100" t="s">
        <v>14</v>
      </c>
      <c r="D11" s="360" t="s">
        <v>15</v>
      </c>
      <c r="E11" s="361"/>
      <c r="F11" s="362"/>
      <c r="G11" s="363" t="s">
        <v>16</v>
      </c>
      <c r="H11" s="348" t="s">
        <v>17</v>
      </c>
      <c r="I11" s="348" t="s">
        <v>18</v>
      </c>
      <c r="J11" s="348" t="s">
        <v>19</v>
      </c>
      <c r="K11" s="349"/>
      <c r="L11" s="356"/>
      <c r="M11" s="358"/>
      <c r="N11" s="89"/>
      <c r="O11" s="89"/>
      <c r="P11" s="89"/>
      <c r="Q11" s="89"/>
      <c r="R11" s="89"/>
      <c r="S11" s="89"/>
    </row>
    <row r="12" spans="1:19" ht="63.75" thickBot="1" x14ac:dyDescent="0.3">
      <c r="A12" s="350"/>
      <c r="B12" s="350"/>
      <c r="C12" s="101" t="s">
        <v>20</v>
      </c>
      <c r="D12" s="102" t="s">
        <v>21</v>
      </c>
      <c r="E12" s="103" t="s">
        <v>22</v>
      </c>
      <c r="F12" s="103" t="s">
        <v>23</v>
      </c>
      <c r="G12" s="364"/>
      <c r="H12" s="350"/>
      <c r="I12" s="350"/>
      <c r="J12" s="350"/>
      <c r="K12" s="350"/>
      <c r="L12" s="357"/>
      <c r="M12" s="359"/>
      <c r="N12" s="89"/>
      <c r="O12" s="89"/>
      <c r="P12" s="89"/>
      <c r="Q12" s="89"/>
      <c r="R12" s="89"/>
      <c r="S12" s="89"/>
    </row>
    <row r="13" spans="1:19" ht="15.75" x14ac:dyDescent="0.25">
      <c r="A13" s="23">
        <v>1</v>
      </c>
      <c r="B13" s="24">
        <v>2</v>
      </c>
      <c r="C13" s="25">
        <v>3</v>
      </c>
      <c r="D13" s="25">
        <v>4</v>
      </c>
      <c r="E13" s="26">
        <v>5</v>
      </c>
      <c r="F13" s="26">
        <v>6</v>
      </c>
      <c r="G13" s="25">
        <v>6</v>
      </c>
      <c r="H13" s="26">
        <v>7</v>
      </c>
      <c r="I13" s="26">
        <v>8</v>
      </c>
      <c r="J13" s="26">
        <v>9</v>
      </c>
      <c r="K13" s="26">
        <v>10</v>
      </c>
      <c r="L13" s="27">
        <v>11</v>
      </c>
      <c r="M13" s="28">
        <v>12</v>
      </c>
      <c r="N13" s="89"/>
      <c r="O13" s="89"/>
      <c r="P13" s="89"/>
      <c r="Q13" s="89"/>
      <c r="R13" s="89"/>
      <c r="S13" s="89"/>
    </row>
    <row r="14" spans="1:19" ht="63.75" thickBot="1" x14ac:dyDescent="0.3">
      <c r="A14" s="29">
        <v>1</v>
      </c>
      <c r="B14" s="30" t="s">
        <v>113</v>
      </c>
      <c r="C14" s="104">
        <f>F23</f>
        <v>2100</v>
      </c>
      <c r="D14" s="104">
        <f>S34</f>
        <v>683.91271658605262</v>
      </c>
      <c r="E14" s="104">
        <f>D14*12%</f>
        <v>82.069525990326312</v>
      </c>
      <c r="F14" s="104"/>
      <c r="G14" s="104">
        <f>L38</f>
        <v>0</v>
      </c>
      <c r="H14" s="104">
        <f>C14+D14+E14+G14</f>
        <v>2865.9822425763791</v>
      </c>
      <c r="I14" s="105">
        <f>Смета!E21</f>
        <v>0.10000021516836566</v>
      </c>
      <c r="J14" s="104">
        <f>D14*I14</f>
        <v>68.39141881498675</v>
      </c>
      <c r="K14" s="104">
        <f>H14+J14</f>
        <v>2934.3736613913657</v>
      </c>
      <c r="L14" s="106">
        <f>(K14*30%)</f>
        <v>880.31209841740963</v>
      </c>
      <c r="M14" s="34">
        <f>K14+L14</f>
        <v>3814.6857598087754</v>
      </c>
      <c r="N14" s="90"/>
      <c r="O14" s="90"/>
      <c r="P14" s="90"/>
      <c r="Q14" s="90"/>
      <c r="R14" s="89"/>
      <c r="S14" s="89"/>
    </row>
    <row r="15" spans="1:19" ht="63.75" thickBot="1" x14ac:dyDescent="0.3">
      <c r="A15" s="29">
        <v>2</v>
      </c>
      <c r="B15" s="30" t="s">
        <v>114</v>
      </c>
      <c r="C15" s="104">
        <f>F22</f>
        <v>100</v>
      </c>
      <c r="D15" s="104">
        <f>S33</f>
        <v>683.91271658605262</v>
      </c>
      <c r="E15" s="104">
        <f>D15*12%</f>
        <v>82.069525990326312</v>
      </c>
      <c r="F15" s="104"/>
      <c r="G15" s="104"/>
      <c r="H15" s="104">
        <f>C15+D15+E15+G15</f>
        <v>865.98224257637889</v>
      </c>
      <c r="I15" s="105">
        <f>Смета!E21</f>
        <v>0.10000021516836566</v>
      </c>
      <c r="J15" s="104">
        <f>D15*I15</f>
        <v>68.39141881498675</v>
      </c>
      <c r="K15" s="104">
        <f>H15+J15</f>
        <v>934.37366139136566</v>
      </c>
      <c r="L15" s="106">
        <f>(K15*30%)</f>
        <v>280.31209841740969</v>
      </c>
      <c r="M15" s="34">
        <f>K15+L15</f>
        <v>1214.6857598087754</v>
      </c>
      <c r="N15" s="90"/>
      <c r="O15" s="90"/>
      <c r="P15" s="90"/>
      <c r="Q15" s="90"/>
      <c r="R15" s="89"/>
      <c r="S15" s="89"/>
    </row>
    <row r="16" spans="1:19" x14ac:dyDescent="0.25">
      <c r="A16" s="107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90"/>
      <c r="M16" s="90"/>
      <c r="N16" s="90"/>
      <c r="O16" s="90"/>
      <c r="P16" s="90"/>
      <c r="Q16" s="90"/>
      <c r="R16" s="89"/>
      <c r="S16" s="89"/>
    </row>
    <row r="17" spans="1:19" ht="18.75" x14ac:dyDescent="0.25">
      <c r="A17" s="318" t="s">
        <v>351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89"/>
      <c r="S17" s="89"/>
    </row>
    <row r="18" spans="1:19" ht="15.75" thickBot="1" x14ac:dyDescent="0.3">
      <c r="A18" s="38"/>
      <c r="B18" s="39"/>
      <c r="C18" s="40"/>
      <c r="D18" s="40"/>
      <c r="E18" s="41"/>
      <c r="F18" s="41"/>
      <c r="G18" s="40"/>
      <c r="H18" s="41"/>
      <c r="I18" s="42"/>
      <c r="J18" s="41"/>
      <c r="K18" s="41"/>
      <c r="L18" s="89"/>
      <c r="M18" s="89"/>
      <c r="N18" s="89"/>
      <c r="O18" s="89"/>
      <c r="P18" s="89"/>
      <c r="Q18" s="89"/>
      <c r="R18" s="89"/>
      <c r="S18" s="89"/>
    </row>
    <row r="19" spans="1:19" ht="38.25" x14ac:dyDescent="0.25">
      <c r="A19" s="183" t="s">
        <v>7</v>
      </c>
      <c r="B19" s="184" t="s">
        <v>27</v>
      </c>
      <c r="C19" s="184" t="s">
        <v>28</v>
      </c>
      <c r="D19" s="184" t="s">
        <v>29</v>
      </c>
      <c r="E19" s="184" t="s">
        <v>30</v>
      </c>
      <c r="F19" s="185" t="s">
        <v>31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</row>
    <row r="20" spans="1:19" ht="38.25" x14ac:dyDescent="0.25">
      <c r="A20" s="190">
        <v>1</v>
      </c>
      <c r="B20" s="137" t="s">
        <v>110</v>
      </c>
      <c r="C20" s="138">
        <v>1</v>
      </c>
      <c r="D20" s="139">
        <v>1000</v>
      </c>
      <c r="E20" s="140">
        <v>1</v>
      </c>
      <c r="F20" s="83">
        <v>1000</v>
      </c>
      <c r="G20" s="110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</row>
    <row r="21" spans="1:19" ht="25.5" x14ac:dyDescent="0.25">
      <c r="A21" s="190">
        <v>2</v>
      </c>
      <c r="B21" s="137" t="s">
        <v>293</v>
      </c>
      <c r="C21" s="138">
        <v>1</v>
      </c>
      <c r="D21" s="139">
        <v>1000</v>
      </c>
      <c r="E21" s="140">
        <v>1</v>
      </c>
      <c r="F21" s="83">
        <v>1000</v>
      </c>
      <c r="G21" s="110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</row>
    <row r="22" spans="1:19" ht="25.5" x14ac:dyDescent="0.25">
      <c r="A22" s="191">
        <v>3</v>
      </c>
      <c r="B22" s="186" t="s">
        <v>115</v>
      </c>
      <c r="C22" s="187">
        <v>1</v>
      </c>
      <c r="D22" s="188">
        <v>100</v>
      </c>
      <c r="E22" s="189">
        <v>1</v>
      </c>
      <c r="F22" s="83">
        <f t="shared" ref="F22" si="0">D22*E22</f>
        <v>100</v>
      </c>
      <c r="G22" s="110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</row>
    <row r="23" spans="1:19" ht="15.75" thickBot="1" x14ac:dyDescent="0.3">
      <c r="A23" s="326" t="s">
        <v>33</v>
      </c>
      <c r="B23" s="327"/>
      <c r="C23" s="327"/>
      <c r="D23" s="327"/>
      <c r="E23" s="327"/>
      <c r="F23" s="85">
        <f>F20+F21+F22</f>
        <v>2100</v>
      </c>
      <c r="G23" s="110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</row>
    <row r="24" spans="1:19" ht="18.75" x14ac:dyDescent="0.25">
      <c r="A24" s="328" t="s">
        <v>37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89"/>
      <c r="S24" s="89"/>
    </row>
    <row r="25" spans="1:19" ht="19.5" thickBot="1" x14ac:dyDescent="0.3">
      <c r="A25" s="292"/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 t="s">
        <v>38</v>
      </c>
      <c r="R25" s="89"/>
      <c r="S25" s="89"/>
    </row>
    <row r="26" spans="1:19" ht="15.75" thickBot="1" x14ac:dyDescent="0.3">
      <c r="A26" s="319" t="s">
        <v>7</v>
      </c>
      <c r="B26" s="319" t="s">
        <v>39</v>
      </c>
      <c r="C26" s="337" t="s">
        <v>40</v>
      </c>
      <c r="D26" s="337" t="s">
        <v>41</v>
      </c>
      <c r="E26" s="337" t="s">
        <v>102</v>
      </c>
      <c r="F26" s="319" t="s">
        <v>43</v>
      </c>
      <c r="G26" s="319" t="s">
        <v>107</v>
      </c>
      <c r="H26" s="373" t="s">
        <v>108</v>
      </c>
      <c r="I26" s="341"/>
      <c r="J26" s="341"/>
      <c r="K26" s="341"/>
      <c r="L26" s="341"/>
      <c r="M26" s="341"/>
      <c r="N26" s="342"/>
      <c r="O26" s="315" t="s">
        <v>44</v>
      </c>
      <c r="P26" s="319" t="s">
        <v>45</v>
      </c>
      <c r="Q26" s="319" t="s">
        <v>46</v>
      </c>
      <c r="R26" s="373" t="s">
        <v>47</v>
      </c>
      <c r="S26" s="365" t="s">
        <v>48</v>
      </c>
    </row>
    <row r="27" spans="1:19" x14ac:dyDescent="0.25">
      <c r="A27" s="320"/>
      <c r="B27" s="320"/>
      <c r="C27" s="338"/>
      <c r="D27" s="338"/>
      <c r="E27" s="338"/>
      <c r="F27" s="320"/>
      <c r="G27" s="320"/>
      <c r="H27" s="374"/>
      <c r="I27" s="373" t="s">
        <v>49</v>
      </c>
      <c r="J27" s="315"/>
      <c r="K27" s="373" t="s">
        <v>50</v>
      </c>
      <c r="L27" s="315"/>
      <c r="M27" s="382" t="s">
        <v>51</v>
      </c>
      <c r="N27" s="383"/>
      <c r="O27" s="316"/>
      <c r="P27" s="320"/>
      <c r="Q27" s="320"/>
      <c r="R27" s="374"/>
      <c r="S27" s="366"/>
    </row>
    <row r="28" spans="1:19" x14ac:dyDescent="0.25">
      <c r="A28" s="320"/>
      <c r="B28" s="320"/>
      <c r="C28" s="338"/>
      <c r="D28" s="338"/>
      <c r="E28" s="338"/>
      <c r="F28" s="320"/>
      <c r="G28" s="320"/>
      <c r="H28" s="374"/>
      <c r="I28" s="378"/>
      <c r="J28" s="379"/>
      <c r="K28" s="378"/>
      <c r="L28" s="379"/>
      <c r="M28" s="384"/>
      <c r="N28" s="385"/>
      <c r="O28" s="316"/>
      <c r="P28" s="320"/>
      <c r="Q28" s="320"/>
      <c r="R28" s="374"/>
      <c r="S28" s="366"/>
    </row>
    <row r="29" spans="1:19" ht="15.75" thickBot="1" x14ac:dyDescent="0.3">
      <c r="A29" s="320"/>
      <c r="B29" s="320"/>
      <c r="C29" s="338"/>
      <c r="D29" s="338"/>
      <c r="E29" s="338"/>
      <c r="F29" s="320"/>
      <c r="G29" s="320"/>
      <c r="H29" s="374"/>
      <c r="I29" s="380"/>
      <c r="J29" s="381"/>
      <c r="K29" s="380"/>
      <c r="L29" s="381"/>
      <c r="M29" s="386"/>
      <c r="N29" s="387"/>
      <c r="O29" s="316"/>
      <c r="P29" s="320"/>
      <c r="Q29" s="320"/>
      <c r="R29" s="374"/>
      <c r="S29" s="366"/>
    </row>
    <row r="30" spans="1:19" x14ac:dyDescent="0.25">
      <c r="A30" s="320"/>
      <c r="B30" s="320"/>
      <c r="C30" s="338"/>
      <c r="D30" s="338"/>
      <c r="E30" s="338"/>
      <c r="F30" s="320"/>
      <c r="G30" s="320"/>
      <c r="H30" s="374"/>
      <c r="I30" s="388" t="s">
        <v>52</v>
      </c>
      <c r="J30" s="343" t="s">
        <v>19</v>
      </c>
      <c r="K30" s="343" t="s">
        <v>52</v>
      </c>
      <c r="L30" s="333" t="s">
        <v>19</v>
      </c>
      <c r="M30" s="335" t="s">
        <v>52</v>
      </c>
      <c r="N30" s="335" t="s">
        <v>19</v>
      </c>
      <c r="O30" s="316"/>
      <c r="P30" s="320"/>
      <c r="Q30" s="320"/>
      <c r="R30" s="374"/>
      <c r="S30" s="366"/>
    </row>
    <row r="31" spans="1:19" ht="15.75" thickBot="1" x14ac:dyDescent="0.3">
      <c r="A31" s="321"/>
      <c r="B31" s="321"/>
      <c r="C31" s="339"/>
      <c r="D31" s="339"/>
      <c r="E31" s="339"/>
      <c r="F31" s="321"/>
      <c r="G31" s="321"/>
      <c r="H31" s="375"/>
      <c r="I31" s="389"/>
      <c r="J31" s="344"/>
      <c r="K31" s="344"/>
      <c r="L31" s="334"/>
      <c r="M31" s="336"/>
      <c r="N31" s="336"/>
      <c r="O31" s="317"/>
      <c r="P31" s="321"/>
      <c r="Q31" s="321"/>
      <c r="R31" s="375"/>
      <c r="S31" s="367"/>
    </row>
    <row r="32" spans="1:19" x14ac:dyDescent="0.25">
      <c r="A32" s="111">
        <v>1</v>
      </c>
      <c r="B32" s="112">
        <v>2</v>
      </c>
      <c r="C32" s="113">
        <v>3</v>
      </c>
      <c r="D32" s="113">
        <v>4</v>
      </c>
      <c r="E32" s="113">
        <v>5</v>
      </c>
      <c r="F32" s="113">
        <v>6</v>
      </c>
      <c r="G32" s="113"/>
      <c r="H32" s="113"/>
      <c r="I32" s="113">
        <v>8</v>
      </c>
      <c r="J32" s="113">
        <v>9</v>
      </c>
      <c r="K32" s="113">
        <v>10</v>
      </c>
      <c r="L32" s="113">
        <v>11</v>
      </c>
      <c r="M32" s="51">
        <v>12</v>
      </c>
      <c r="N32" s="51">
        <v>13</v>
      </c>
      <c r="O32" s="114">
        <v>14</v>
      </c>
      <c r="P32" s="114">
        <v>15</v>
      </c>
      <c r="Q32" s="114">
        <v>16</v>
      </c>
      <c r="R32" s="113">
        <v>17</v>
      </c>
      <c r="S32" s="115">
        <v>18</v>
      </c>
    </row>
    <row r="33" spans="1:19" x14ac:dyDescent="0.25">
      <c r="A33" s="111">
        <v>1</v>
      </c>
      <c r="B33" s="116" t="s">
        <v>53</v>
      </c>
      <c r="C33" s="113" t="s">
        <v>104</v>
      </c>
      <c r="D33" s="113">
        <v>2.4</v>
      </c>
      <c r="E33" s="117">
        <v>17697</v>
      </c>
      <c r="F33" s="117">
        <f t="shared" ref="F33" si="1">D33*E33</f>
        <v>42472.799999999996</v>
      </c>
      <c r="G33" s="117">
        <f>F33*1.63</f>
        <v>69230.66399999999</v>
      </c>
      <c r="H33" s="117">
        <f>F33+G33</f>
        <v>111703.46399999998</v>
      </c>
      <c r="I33" s="117"/>
      <c r="J33" s="117"/>
      <c r="K33" s="117"/>
      <c r="L33" s="117"/>
      <c r="M33" s="117"/>
      <c r="N33" s="117"/>
      <c r="O33" s="117">
        <f>H33+J33</f>
        <v>111703.46399999998</v>
      </c>
      <c r="P33" s="117">
        <f t="shared" ref="P33" si="2">O33/163.33</f>
        <v>683.91271658605262</v>
      </c>
      <c r="Q33" s="117">
        <f t="shared" ref="Q33" si="3">P33/60</f>
        <v>11.398545276434211</v>
      </c>
      <c r="R33" s="117">
        <v>60</v>
      </c>
      <c r="S33" s="118">
        <f t="shared" ref="S33" si="4">Q33*R33</f>
        <v>683.91271658605262</v>
      </c>
    </row>
    <row r="34" spans="1:19" ht="15.75" thickBot="1" x14ac:dyDescent="0.3">
      <c r="A34" s="119"/>
      <c r="B34" s="120" t="s">
        <v>109</v>
      </c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3">
        <f>SUM(S33:S33)</f>
        <v>683.91271658605262</v>
      </c>
    </row>
    <row r="35" spans="1:19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</row>
    <row r="36" spans="1:19" ht="17.25" hidden="1" customHeight="1" x14ac:dyDescent="0.25">
      <c r="A36" s="322" t="s">
        <v>16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89"/>
      <c r="S36" s="89"/>
    </row>
    <row r="37" spans="1:19" ht="64.5" hidden="1" thickBot="1" x14ac:dyDescent="0.3">
      <c r="A37" s="3" t="s">
        <v>7</v>
      </c>
      <c r="B37" s="4" t="s">
        <v>55</v>
      </c>
      <c r="C37" s="5" t="s">
        <v>56</v>
      </c>
      <c r="D37" s="6" t="s">
        <v>57</v>
      </c>
      <c r="E37" s="4" t="s">
        <v>58</v>
      </c>
      <c r="F37" s="7" t="s">
        <v>59</v>
      </c>
      <c r="G37" s="8" t="s">
        <v>60</v>
      </c>
      <c r="H37" s="4" t="s">
        <v>61</v>
      </c>
      <c r="I37" s="4" t="s">
        <v>62</v>
      </c>
      <c r="J37" s="9" t="s">
        <v>63</v>
      </c>
      <c r="K37" s="10" t="s">
        <v>64</v>
      </c>
      <c r="L37" s="11" t="s">
        <v>65</v>
      </c>
      <c r="M37" s="89"/>
      <c r="N37" s="89"/>
      <c r="O37" s="89"/>
      <c r="P37" s="89"/>
      <c r="Q37" s="89"/>
      <c r="R37" s="89"/>
      <c r="S37" s="89"/>
    </row>
    <row r="38" spans="1:19" hidden="1" x14ac:dyDescent="0.25">
      <c r="A38" s="124"/>
      <c r="B38" s="125" t="s">
        <v>346</v>
      </c>
      <c r="C38" s="91">
        <v>1</v>
      </c>
      <c r="D38" s="92"/>
      <c r="E38" s="93" t="s">
        <v>347</v>
      </c>
      <c r="F38" s="93"/>
      <c r="G38" s="136"/>
      <c r="H38" s="93"/>
      <c r="I38" s="93"/>
      <c r="J38" s="93"/>
      <c r="K38" s="93"/>
      <c r="L38" s="126"/>
      <c r="M38" s="89"/>
      <c r="N38" s="89"/>
      <c r="O38" s="89"/>
      <c r="P38" s="89"/>
      <c r="Q38" s="89"/>
      <c r="R38" s="89"/>
      <c r="S38" s="89"/>
    </row>
    <row r="39" spans="1:19" x14ac:dyDescent="0.25">
      <c r="A39" s="89"/>
      <c r="B39" s="89"/>
      <c r="C39" s="89"/>
      <c r="D39" s="89"/>
      <c r="E39" s="141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</row>
    <row r="40" spans="1:19" ht="18.75" x14ac:dyDescent="0.3">
      <c r="A40" s="89"/>
      <c r="B40" s="130"/>
      <c r="C40" s="131"/>
      <c r="D40" s="132"/>
      <c r="E40" s="141"/>
      <c r="F40" s="89"/>
      <c r="G40" s="133"/>
      <c r="H40" s="134"/>
      <c r="I40" s="89"/>
      <c r="J40" s="127"/>
      <c r="K40" s="128"/>
      <c r="L40" s="89"/>
      <c r="M40" s="89"/>
      <c r="N40" s="89"/>
      <c r="O40" s="89"/>
      <c r="P40" s="89"/>
      <c r="Q40" s="89"/>
      <c r="R40" s="89"/>
      <c r="S40" s="89"/>
    </row>
    <row r="41" spans="1:19" ht="18.75" x14ac:dyDescent="0.3">
      <c r="A41" s="89"/>
      <c r="B41" s="143" t="s">
        <v>67</v>
      </c>
      <c r="C41" s="143" t="s">
        <v>68</v>
      </c>
      <c r="D41" s="144"/>
      <c r="E41" s="142" t="s">
        <v>343</v>
      </c>
      <c r="F41" s="135"/>
      <c r="G41" s="133"/>
      <c r="H41" s="134"/>
      <c r="I41" s="89"/>
      <c r="J41" s="127"/>
      <c r="K41" s="128"/>
      <c r="L41" s="89"/>
      <c r="M41" s="89"/>
      <c r="N41" s="89"/>
      <c r="O41" s="89"/>
      <c r="P41" s="89"/>
      <c r="Q41" s="89"/>
      <c r="R41" s="89"/>
      <c r="S41" s="89"/>
    </row>
    <row r="42" spans="1:19" ht="18.75" x14ac:dyDescent="0.3">
      <c r="A42" s="89"/>
      <c r="B42" s="145"/>
      <c r="C42" s="143"/>
      <c r="D42" s="144"/>
      <c r="E42" s="142"/>
      <c r="F42" s="135"/>
      <c r="G42" s="133"/>
      <c r="H42" s="134"/>
      <c r="I42" s="89"/>
      <c r="J42" s="127"/>
      <c r="K42" s="128"/>
      <c r="L42" s="89"/>
      <c r="M42" s="89"/>
      <c r="N42" s="89"/>
      <c r="O42" s="89"/>
      <c r="P42" s="89"/>
      <c r="Q42" s="89"/>
      <c r="R42" s="89"/>
      <c r="S42" s="89"/>
    </row>
    <row r="43" spans="1:19" ht="18.75" x14ac:dyDescent="0.3">
      <c r="A43" s="89"/>
      <c r="B43" s="145" t="s">
        <v>70</v>
      </c>
      <c r="C43" s="143" t="s">
        <v>68</v>
      </c>
      <c r="D43" s="144"/>
      <c r="E43" s="135" t="s">
        <v>342</v>
      </c>
      <c r="F43" s="144"/>
      <c r="G43" s="133"/>
      <c r="H43" s="134"/>
      <c r="I43" s="89"/>
      <c r="J43" s="127"/>
      <c r="K43" s="128"/>
      <c r="L43" s="89"/>
      <c r="M43" s="89"/>
      <c r="N43" s="89"/>
      <c r="O43" s="89"/>
      <c r="P43" s="89"/>
      <c r="Q43" s="89"/>
      <c r="R43" s="89"/>
      <c r="S43" s="89"/>
    </row>
    <row r="44" spans="1:19" ht="15.75" x14ac:dyDescent="0.25">
      <c r="A44" s="89"/>
      <c r="B44" s="145"/>
      <c r="C44" s="135"/>
      <c r="D44" s="135"/>
      <c r="E44" s="135"/>
      <c r="F44" s="135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</row>
    <row r="45" spans="1:19" ht="15.75" x14ac:dyDescent="0.25">
      <c r="A45" s="89"/>
      <c r="B45" s="135"/>
      <c r="C45" s="143"/>
      <c r="D45" s="135"/>
      <c r="E45" s="135"/>
      <c r="F45" s="135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</row>
    <row r="46" spans="1:19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</row>
  </sheetData>
  <mergeCells count="43">
    <mergeCell ref="A36:Q36"/>
    <mergeCell ref="S26:S31"/>
    <mergeCell ref="I27:J29"/>
    <mergeCell ref="K27:L29"/>
    <mergeCell ref="M27:N29"/>
    <mergeCell ref="I30:I31"/>
    <mergeCell ref="J30:J31"/>
    <mergeCell ref="K30:K31"/>
    <mergeCell ref="L30:L31"/>
    <mergeCell ref="M30:M31"/>
    <mergeCell ref="N30:N31"/>
    <mergeCell ref="H26:H31"/>
    <mergeCell ref="I26:N26"/>
    <mergeCell ref="O26:O31"/>
    <mergeCell ref="P26:P31"/>
    <mergeCell ref="Q26:Q31"/>
    <mergeCell ref="R26:R31"/>
    <mergeCell ref="A17:Q17"/>
    <mergeCell ref="A23:E23"/>
    <mergeCell ref="A24:Q24"/>
    <mergeCell ref="A26:A31"/>
    <mergeCell ref="B26:B31"/>
    <mergeCell ref="C26:C31"/>
    <mergeCell ref="D26:D31"/>
    <mergeCell ref="E26:E31"/>
    <mergeCell ref="F26:F31"/>
    <mergeCell ref="G26:G31"/>
    <mergeCell ref="I1:K1"/>
    <mergeCell ref="A6:Q6"/>
    <mergeCell ref="A7:Q7"/>
    <mergeCell ref="A8:Q8"/>
    <mergeCell ref="A10:A12"/>
    <mergeCell ref="B10:B12"/>
    <mergeCell ref="C10:H10"/>
    <mergeCell ref="I10:J10"/>
    <mergeCell ref="K10:K12"/>
    <mergeCell ref="L10:L12"/>
    <mergeCell ref="M10:M12"/>
    <mergeCell ref="D11:F11"/>
    <mergeCell ref="G11:G12"/>
    <mergeCell ref="H11:H12"/>
    <mergeCell ref="I11:I12"/>
    <mergeCell ref="J11:J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workbookViewId="0">
      <selection sqref="A1:C26"/>
    </sheetView>
  </sheetViews>
  <sheetFormatPr defaultRowHeight="15" x14ac:dyDescent="0.25"/>
  <cols>
    <col min="1" max="1" width="9" customWidth="1"/>
    <col min="2" max="2" width="57.7109375" customWidth="1"/>
    <col min="3" max="3" width="30.140625" customWidth="1"/>
  </cols>
  <sheetData>
    <row r="1" spans="1:3" ht="18.75" x14ac:dyDescent="0.3">
      <c r="A1" s="89"/>
      <c r="B1" s="392" t="s">
        <v>290</v>
      </c>
      <c r="C1" s="392"/>
    </row>
    <row r="2" spans="1:3" ht="18.75" x14ac:dyDescent="0.3">
      <c r="A2" s="89"/>
      <c r="B2" s="393" t="s">
        <v>307</v>
      </c>
      <c r="C2" s="393"/>
    </row>
    <row r="3" spans="1:3" ht="18.75" x14ac:dyDescent="0.3">
      <c r="A3" s="89"/>
      <c r="B3" s="393" t="s">
        <v>291</v>
      </c>
      <c r="C3" s="393"/>
    </row>
    <row r="4" spans="1:3" ht="28.5" customHeight="1" x14ac:dyDescent="0.3">
      <c r="A4" s="89"/>
      <c r="B4" s="393" t="s">
        <v>292</v>
      </c>
      <c r="C4" s="393"/>
    </row>
    <row r="5" spans="1:3" ht="18.75" x14ac:dyDescent="0.3">
      <c r="A5" s="89"/>
      <c r="B5" s="393" t="s">
        <v>340</v>
      </c>
      <c r="C5" s="393"/>
    </row>
    <row r="6" spans="1:3" x14ac:dyDescent="0.25">
      <c r="A6" s="89"/>
      <c r="B6" s="89"/>
      <c r="C6" s="89"/>
    </row>
    <row r="7" spans="1:3" x14ac:dyDescent="0.25">
      <c r="A7" s="89"/>
      <c r="B7" s="89"/>
      <c r="C7" s="89"/>
    </row>
    <row r="8" spans="1:3" ht="18.75" x14ac:dyDescent="0.3">
      <c r="A8" s="346" t="s">
        <v>356</v>
      </c>
      <c r="B8" s="346"/>
      <c r="C8" s="346"/>
    </row>
    <row r="9" spans="1:3" ht="18.75" x14ac:dyDescent="0.25">
      <c r="A9" s="347" t="s">
        <v>312</v>
      </c>
      <c r="B9" s="347"/>
      <c r="C9" s="347"/>
    </row>
    <row r="10" spans="1:3" ht="18.75" x14ac:dyDescent="0.3">
      <c r="A10" s="346" t="s">
        <v>305</v>
      </c>
      <c r="B10" s="346"/>
      <c r="C10" s="346"/>
    </row>
    <row r="11" spans="1:3" x14ac:dyDescent="0.25">
      <c r="A11" s="257"/>
      <c r="B11" s="257"/>
      <c r="C11" s="257"/>
    </row>
    <row r="12" spans="1:3" ht="21.75" customHeight="1" x14ac:dyDescent="0.25">
      <c r="A12" s="258" t="s">
        <v>7</v>
      </c>
      <c r="B12" s="258" t="s">
        <v>288</v>
      </c>
      <c r="C12" s="258" t="s">
        <v>289</v>
      </c>
    </row>
    <row r="13" spans="1:3" s="89" customFormat="1" ht="27" customHeight="1" x14ac:dyDescent="0.25">
      <c r="A13" s="258">
        <v>1</v>
      </c>
      <c r="B13" s="402" t="s">
        <v>357</v>
      </c>
      <c r="C13" s="404">
        <v>4500</v>
      </c>
    </row>
    <row r="14" spans="1:3" ht="35.25" customHeight="1" x14ac:dyDescent="0.25">
      <c r="A14" s="258">
        <v>2</v>
      </c>
      <c r="B14" s="403" t="s">
        <v>358</v>
      </c>
      <c r="C14" s="404">
        <v>4000</v>
      </c>
    </row>
    <row r="15" spans="1:3" ht="31.5" x14ac:dyDescent="0.25">
      <c r="A15" s="259">
        <v>3</v>
      </c>
      <c r="B15" s="403" t="s">
        <v>359</v>
      </c>
      <c r="C15" s="405">
        <v>5000</v>
      </c>
    </row>
    <row r="16" spans="1:3" ht="51" customHeight="1" x14ac:dyDescent="0.25">
      <c r="A16" s="407">
        <v>4</v>
      </c>
      <c r="B16" s="403" t="s">
        <v>360</v>
      </c>
      <c r="C16" s="406">
        <v>9600</v>
      </c>
    </row>
    <row r="17" spans="1:3" ht="57.75" customHeight="1" x14ac:dyDescent="0.25">
      <c r="A17" s="89"/>
      <c r="B17" s="89"/>
      <c r="C17" s="89"/>
    </row>
    <row r="18" spans="1:3" ht="15.75" customHeight="1" x14ac:dyDescent="0.25">
      <c r="A18" s="89"/>
      <c r="B18" s="294" t="s">
        <v>321</v>
      </c>
      <c r="C18" s="89"/>
    </row>
    <row r="19" spans="1:3" x14ac:dyDescent="0.25">
      <c r="A19" s="89"/>
      <c r="B19" s="89"/>
      <c r="C19" s="89"/>
    </row>
    <row r="20" spans="1:3" x14ac:dyDescent="0.25">
      <c r="A20" s="89"/>
      <c r="B20" s="89"/>
      <c r="C20" s="89"/>
    </row>
    <row r="21" spans="1:3" x14ac:dyDescent="0.25">
      <c r="A21" s="89"/>
      <c r="B21" s="294" t="s">
        <v>355</v>
      </c>
      <c r="C21" s="89"/>
    </row>
    <row r="22" spans="1:3" x14ac:dyDescent="0.25">
      <c r="A22" s="89"/>
      <c r="B22" s="89"/>
      <c r="C22" s="89"/>
    </row>
    <row r="23" spans="1:3" x14ac:dyDescent="0.25">
      <c r="A23" s="89"/>
      <c r="B23" s="89"/>
      <c r="C23" s="89"/>
    </row>
    <row r="24" spans="1:3" x14ac:dyDescent="0.25">
      <c r="A24" s="89"/>
      <c r="B24" s="89"/>
      <c r="C24" s="89"/>
    </row>
    <row r="25" spans="1:3" x14ac:dyDescent="0.25">
      <c r="A25" s="89"/>
      <c r="B25" s="89"/>
      <c r="C25" s="89"/>
    </row>
  </sheetData>
  <mergeCells count="8">
    <mergeCell ref="A9:C9"/>
    <mergeCell ref="A10:C10"/>
    <mergeCell ref="B1:C1"/>
    <mergeCell ref="B2:C2"/>
    <mergeCell ref="B3:C3"/>
    <mergeCell ref="B4:C4"/>
    <mergeCell ref="B5:C5"/>
    <mergeCell ref="A8:C8"/>
  </mergeCells>
  <pageMargins left="0.7" right="0.7" top="0.75" bottom="0.7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10" zoomScaleNormal="100" workbookViewId="0">
      <selection sqref="A1:XFD1048576"/>
    </sheetView>
  </sheetViews>
  <sheetFormatPr defaultRowHeight="15" x14ac:dyDescent="0.25"/>
  <cols>
    <col min="1" max="1" width="9.140625" style="89"/>
    <col min="2" max="2" width="32.5703125" style="89" customWidth="1"/>
    <col min="3" max="3" width="14.7109375" style="89" customWidth="1"/>
    <col min="4" max="4" width="14.5703125" style="89" customWidth="1"/>
    <col min="5" max="5" width="16.28515625" style="89" bestFit="1" customWidth="1"/>
    <col min="6" max="6" width="14.140625" style="89" bestFit="1" customWidth="1"/>
    <col min="7" max="7" width="11.85546875" style="89" customWidth="1"/>
    <col min="8" max="8" width="10.85546875" style="89" bestFit="1" customWidth="1"/>
    <col min="9" max="9" width="15.140625" style="89" bestFit="1" customWidth="1"/>
    <col min="10" max="10" width="9.140625" style="89"/>
    <col min="11" max="11" width="9.140625" style="89" customWidth="1"/>
    <col min="12" max="12" width="10.42578125" style="89" customWidth="1"/>
    <col min="13" max="13" width="9.85546875" style="89" customWidth="1"/>
    <col min="14" max="16384" width="9.140625" style="89"/>
  </cols>
  <sheetData>
    <row r="1" spans="1:13" ht="18.75" x14ac:dyDescent="0.3">
      <c r="A1" s="94"/>
      <c r="B1" s="95"/>
      <c r="C1" s="96"/>
      <c r="D1" s="96"/>
      <c r="E1" s="94"/>
      <c r="F1" s="94"/>
      <c r="G1" s="96"/>
      <c r="I1" s="97"/>
      <c r="J1" s="97" t="s">
        <v>0</v>
      </c>
      <c r="K1" s="97"/>
      <c r="L1" s="97"/>
      <c r="M1" s="97"/>
    </row>
    <row r="2" spans="1:13" ht="18.75" x14ac:dyDescent="0.3">
      <c r="A2" s="94"/>
      <c r="B2" s="95"/>
      <c r="C2" s="96"/>
      <c r="D2" s="96"/>
      <c r="E2" s="94"/>
      <c r="F2" s="94"/>
      <c r="G2" s="96"/>
      <c r="I2" s="97"/>
      <c r="J2" s="97"/>
      <c r="K2" s="97"/>
      <c r="L2" s="97"/>
      <c r="M2" s="98" t="s">
        <v>1</v>
      </c>
    </row>
    <row r="3" spans="1:13" ht="18.75" x14ac:dyDescent="0.3">
      <c r="A3" s="94"/>
      <c r="B3" s="95"/>
      <c r="C3" s="96"/>
      <c r="D3" s="96"/>
      <c r="E3" s="94"/>
      <c r="F3" s="94"/>
      <c r="G3" s="96"/>
      <c r="I3" s="97"/>
      <c r="J3" s="97"/>
      <c r="K3" s="97"/>
      <c r="L3" s="97"/>
      <c r="M3" s="98" t="s">
        <v>2</v>
      </c>
    </row>
    <row r="4" spans="1:13" ht="18.75" x14ac:dyDescent="0.3">
      <c r="A4" s="94"/>
      <c r="B4" s="95"/>
      <c r="C4" s="96"/>
      <c r="D4" s="96"/>
      <c r="E4" s="94"/>
      <c r="F4" s="94"/>
      <c r="G4" s="96"/>
      <c r="I4" s="97"/>
      <c r="J4" s="97"/>
      <c r="K4" s="97"/>
      <c r="L4" s="97"/>
      <c r="M4" s="98" t="s">
        <v>3</v>
      </c>
    </row>
    <row r="5" spans="1:13" ht="18.75" x14ac:dyDescent="0.3">
      <c r="A5" s="94"/>
      <c r="B5" s="95"/>
      <c r="C5" s="96"/>
      <c r="D5" s="96"/>
      <c r="E5" s="94"/>
      <c r="F5" s="94"/>
      <c r="G5" s="96"/>
      <c r="I5" s="97"/>
      <c r="J5" s="97"/>
      <c r="K5" s="97"/>
      <c r="L5" s="97"/>
      <c r="M5" s="98" t="s">
        <v>112</v>
      </c>
    </row>
    <row r="6" spans="1:13" ht="18.75" x14ac:dyDescent="0.3">
      <c r="A6" s="346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</row>
    <row r="7" spans="1:13" ht="18.75" x14ac:dyDescent="0.25">
      <c r="A7" s="347" t="s">
        <v>72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</row>
    <row r="8" spans="1:13" ht="18.75" x14ac:dyDescent="0.3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</row>
    <row r="9" spans="1:13" ht="16.5" thickBot="1" x14ac:dyDescent="0.3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166" t="s">
        <v>79</v>
      </c>
    </row>
    <row r="10" spans="1:13" ht="16.5" thickBot="1" x14ac:dyDescent="0.3">
      <c r="A10" s="348" t="s">
        <v>7</v>
      </c>
      <c r="B10" s="348" t="s">
        <v>8</v>
      </c>
      <c r="C10" s="351" t="s">
        <v>9</v>
      </c>
      <c r="D10" s="352"/>
      <c r="E10" s="352"/>
      <c r="F10" s="352"/>
      <c r="G10" s="353"/>
      <c r="H10" s="354"/>
      <c r="I10" s="351" t="s">
        <v>10</v>
      </c>
      <c r="J10" s="354"/>
      <c r="K10" s="348" t="s">
        <v>11</v>
      </c>
      <c r="L10" s="355" t="s">
        <v>12</v>
      </c>
      <c r="M10" s="355" t="s">
        <v>13</v>
      </c>
    </row>
    <row r="11" spans="1:13" ht="32.25" thickBot="1" x14ac:dyDescent="0.3">
      <c r="A11" s="349"/>
      <c r="B11" s="349"/>
      <c r="C11" s="100" t="s">
        <v>14</v>
      </c>
      <c r="D11" s="360" t="s">
        <v>15</v>
      </c>
      <c r="E11" s="361"/>
      <c r="F11" s="362"/>
      <c r="G11" s="363" t="s">
        <v>16</v>
      </c>
      <c r="H11" s="348" t="s">
        <v>17</v>
      </c>
      <c r="I11" s="348" t="s">
        <v>18</v>
      </c>
      <c r="J11" s="348" t="s">
        <v>19</v>
      </c>
      <c r="K11" s="349"/>
      <c r="L11" s="356"/>
      <c r="M11" s="358"/>
    </row>
    <row r="12" spans="1:13" ht="95.25" thickBot="1" x14ac:dyDescent="0.3">
      <c r="A12" s="350"/>
      <c r="B12" s="350"/>
      <c r="C12" s="101" t="s">
        <v>20</v>
      </c>
      <c r="D12" s="102" t="s">
        <v>21</v>
      </c>
      <c r="E12" s="103" t="s">
        <v>22</v>
      </c>
      <c r="F12" s="103" t="s">
        <v>23</v>
      </c>
      <c r="G12" s="364"/>
      <c r="H12" s="350"/>
      <c r="I12" s="350"/>
      <c r="J12" s="350"/>
      <c r="K12" s="350"/>
      <c r="L12" s="357"/>
      <c r="M12" s="359"/>
    </row>
    <row r="13" spans="1:13" ht="16.5" thickBot="1" x14ac:dyDescent="0.3">
      <c r="A13" s="87">
        <v>1</v>
      </c>
      <c r="B13" s="88">
        <v>2</v>
      </c>
      <c r="C13" s="148">
        <v>3</v>
      </c>
      <c r="D13" s="148">
        <v>4</v>
      </c>
      <c r="E13" s="149">
        <v>5</v>
      </c>
      <c r="F13" s="149">
        <v>6</v>
      </c>
      <c r="G13" s="148">
        <v>6</v>
      </c>
      <c r="H13" s="149">
        <v>7</v>
      </c>
      <c r="I13" s="149">
        <v>8</v>
      </c>
      <c r="J13" s="149">
        <v>9</v>
      </c>
      <c r="K13" s="149">
        <v>10</v>
      </c>
      <c r="L13" s="150">
        <v>11</v>
      </c>
      <c r="M13" s="151">
        <v>12</v>
      </c>
    </row>
    <row r="14" spans="1:13" ht="31.5" x14ac:dyDescent="0.25">
      <c r="A14" s="159">
        <v>1</v>
      </c>
      <c r="B14" s="161" t="s">
        <v>280</v>
      </c>
      <c r="C14" s="152">
        <f>F19</f>
        <v>711.48</v>
      </c>
      <c r="D14" s="152">
        <f>M43</f>
        <v>1631.7689340598786</v>
      </c>
      <c r="E14" s="152">
        <f>D14*11%</f>
        <v>179.49458274658664</v>
      </c>
      <c r="F14" s="152"/>
      <c r="G14" s="152">
        <f>L59</f>
        <v>0</v>
      </c>
      <c r="H14" s="152">
        <f>C14+D14+E14+G14</f>
        <v>2522.7435168064653</v>
      </c>
      <c r="I14" s="153">
        <f>Смета!E21</f>
        <v>0.10000021516836566</v>
      </c>
      <c r="J14" s="152">
        <f>D14*I14</f>
        <v>163.17724451104252</v>
      </c>
      <c r="K14" s="152">
        <f>H14+J14</f>
        <v>2685.9207613175076</v>
      </c>
      <c r="L14" s="154">
        <f>(K14*30%)</f>
        <v>805.77622839525225</v>
      </c>
      <c r="M14" s="163">
        <f>K14+L14</f>
        <v>3491.6969897127601</v>
      </c>
    </row>
    <row r="15" spans="1:13" ht="32.25" thickBot="1" x14ac:dyDescent="0.3">
      <c r="A15" s="160">
        <v>1</v>
      </c>
      <c r="B15" s="162" t="s">
        <v>282</v>
      </c>
      <c r="C15" s="104"/>
      <c r="D15" s="104">
        <f>M55</f>
        <v>2591.2187289536523</v>
      </c>
      <c r="E15" s="104">
        <f>D15*11%</f>
        <v>285.03406018490176</v>
      </c>
      <c r="F15" s="104"/>
      <c r="G15" s="104">
        <f>L59</f>
        <v>0</v>
      </c>
      <c r="H15" s="104">
        <f t="shared" ref="H15" si="0">C15+D15+E15+G15</f>
        <v>2876.2527891385539</v>
      </c>
      <c r="I15" s="105">
        <f>I14</f>
        <v>0.10000021516836566</v>
      </c>
      <c r="J15" s="104">
        <f t="shared" ref="J15" si="1">D15*I15</f>
        <v>259.1224304436642</v>
      </c>
      <c r="K15" s="104">
        <f t="shared" ref="K15" si="2">H15+J15</f>
        <v>3135.3752195822181</v>
      </c>
      <c r="L15" s="106">
        <f>(K15*30%)</f>
        <v>940.61256587466539</v>
      </c>
      <c r="M15" s="164">
        <f>K15+L15</f>
        <v>4075.9877854568836</v>
      </c>
    </row>
    <row r="16" spans="1:13" x14ac:dyDescent="0.25">
      <c r="A16" s="107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90"/>
      <c r="M16" s="90"/>
    </row>
    <row r="17" spans="1:13" ht="19.5" thickBot="1" x14ac:dyDescent="0.3">
      <c r="A17" s="369" t="s">
        <v>281</v>
      </c>
      <c r="B17" s="369"/>
      <c r="C17" s="369"/>
      <c r="D17" s="369"/>
      <c r="E17" s="369"/>
      <c r="F17" s="369"/>
      <c r="G17" s="167"/>
      <c r="H17" s="167"/>
      <c r="I17" s="167"/>
      <c r="J17" s="167"/>
      <c r="K17" s="167"/>
      <c r="L17" s="167"/>
      <c r="M17" s="167"/>
    </row>
    <row r="18" spans="1:13" ht="51" x14ac:dyDescent="0.25">
      <c r="A18" s="155" t="s">
        <v>7</v>
      </c>
      <c r="B18" s="156" t="s">
        <v>27</v>
      </c>
      <c r="C18" s="156" t="s">
        <v>94</v>
      </c>
      <c r="D18" s="156" t="s">
        <v>29</v>
      </c>
      <c r="E18" s="157" t="s">
        <v>95</v>
      </c>
      <c r="F18" s="156" t="s">
        <v>31</v>
      </c>
    </row>
    <row r="19" spans="1:13" ht="25.5" x14ac:dyDescent="0.25">
      <c r="A19" s="137">
        <v>1</v>
      </c>
      <c r="B19" s="137" t="s">
        <v>96</v>
      </c>
      <c r="C19" s="138">
        <v>5</v>
      </c>
      <c r="D19" s="139">
        <v>71148</v>
      </c>
      <c r="E19" s="140">
        <v>1</v>
      </c>
      <c r="F19" s="139">
        <f>(D19/100)*E19</f>
        <v>711.48</v>
      </c>
      <c r="G19" s="110"/>
    </row>
    <row r="20" spans="1:13" x14ac:dyDescent="0.25">
      <c r="A20" s="246"/>
      <c r="B20" s="246"/>
      <c r="C20" s="206"/>
      <c r="D20" s="247"/>
      <c r="E20" s="248"/>
      <c r="F20" s="247"/>
      <c r="G20" s="110"/>
    </row>
    <row r="21" spans="1:13" ht="19.5" thickBot="1" x14ac:dyDescent="0.3">
      <c r="A21" s="369" t="s">
        <v>286</v>
      </c>
      <c r="B21" s="369"/>
      <c r="C21" s="369"/>
      <c r="D21" s="369"/>
      <c r="E21" s="369"/>
      <c r="F21" s="369"/>
      <c r="G21" s="110"/>
    </row>
    <row r="22" spans="1:13" ht="51" x14ac:dyDescent="0.25">
      <c r="A22" s="249" t="s">
        <v>7</v>
      </c>
      <c r="B22" s="244" t="s">
        <v>27</v>
      </c>
      <c r="C22" s="244" t="s">
        <v>28</v>
      </c>
      <c r="D22" s="244" t="s">
        <v>29</v>
      </c>
      <c r="E22" s="244" t="s">
        <v>30</v>
      </c>
      <c r="F22" s="244" t="s">
        <v>31</v>
      </c>
    </row>
    <row r="23" spans="1:13" ht="25.5" x14ac:dyDescent="0.25">
      <c r="A23" s="190">
        <v>1</v>
      </c>
      <c r="B23" s="137" t="s">
        <v>110</v>
      </c>
      <c r="C23" s="138">
        <v>1</v>
      </c>
      <c r="D23" s="139">
        <v>5200</v>
      </c>
      <c r="E23" s="140">
        <v>1</v>
      </c>
      <c r="F23" s="83">
        <f>D23*E23</f>
        <v>5200</v>
      </c>
      <c r="G23" s="110"/>
    </row>
    <row r="24" spans="1:13" ht="25.5" x14ac:dyDescent="0.25">
      <c r="A24" s="190">
        <v>2</v>
      </c>
      <c r="B24" s="137" t="s">
        <v>111</v>
      </c>
      <c r="C24" s="138">
        <v>1</v>
      </c>
      <c r="D24" s="139">
        <v>3700</v>
      </c>
      <c r="E24" s="140">
        <v>1</v>
      </c>
      <c r="F24" s="83">
        <f t="shared" ref="F24:F25" si="3">D24*E24</f>
        <v>3700</v>
      </c>
      <c r="G24" s="110"/>
    </row>
    <row r="25" spans="1:13" x14ac:dyDescent="0.25">
      <c r="A25" s="191">
        <v>3</v>
      </c>
      <c r="B25" s="186" t="s">
        <v>115</v>
      </c>
      <c r="C25" s="187">
        <v>1</v>
      </c>
      <c r="D25" s="188">
        <v>100</v>
      </c>
      <c r="E25" s="189">
        <v>1</v>
      </c>
      <c r="F25" s="83">
        <f t="shared" si="3"/>
        <v>100</v>
      </c>
      <c r="G25" s="110"/>
    </row>
    <row r="26" spans="1:13" x14ac:dyDescent="0.25">
      <c r="A26" s="206"/>
      <c r="B26" s="246"/>
      <c r="C26" s="206"/>
      <c r="D26" s="247"/>
      <c r="E26" s="248"/>
      <c r="F26" s="247"/>
      <c r="G26" s="110"/>
    </row>
    <row r="27" spans="1:13" ht="19.5" thickBot="1" x14ac:dyDescent="0.3">
      <c r="A27" s="368" t="s">
        <v>37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</row>
    <row r="28" spans="1:13" x14ac:dyDescent="0.25">
      <c r="A28" s="319" t="s">
        <v>7</v>
      </c>
      <c r="B28" s="319" t="s">
        <v>39</v>
      </c>
      <c r="C28" s="337" t="s">
        <v>40</v>
      </c>
      <c r="D28" s="337" t="s">
        <v>41</v>
      </c>
      <c r="E28" s="337" t="s">
        <v>42</v>
      </c>
      <c r="F28" s="319" t="s">
        <v>43</v>
      </c>
      <c r="G28" s="373" t="s">
        <v>50</v>
      </c>
      <c r="H28" s="315"/>
      <c r="I28" s="315" t="s">
        <v>44</v>
      </c>
      <c r="J28" s="319" t="s">
        <v>45</v>
      </c>
      <c r="K28" s="319" t="s">
        <v>46</v>
      </c>
      <c r="L28" s="373" t="s">
        <v>47</v>
      </c>
      <c r="M28" s="365" t="s">
        <v>48</v>
      </c>
    </row>
    <row r="29" spans="1:13" ht="15" customHeight="1" x14ac:dyDescent="0.25">
      <c r="A29" s="320"/>
      <c r="B29" s="320"/>
      <c r="C29" s="338"/>
      <c r="D29" s="338"/>
      <c r="E29" s="338"/>
      <c r="F29" s="320"/>
      <c r="G29" s="374"/>
      <c r="H29" s="316"/>
      <c r="I29" s="316"/>
      <c r="J29" s="320"/>
      <c r="K29" s="320"/>
      <c r="L29" s="374"/>
      <c r="M29" s="366"/>
    </row>
    <row r="30" spans="1:13" x14ac:dyDescent="0.25">
      <c r="A30" s="320"/>
      <c r="B30" s="320"/>
      <c r="C30" s="338"/>
      <c r="D30" s="338"/>
      <c r="E30" s="338"/>
      <c r="F30" s="320"/>
      <c r="G30" s="374"/>
      <c r="H30" s="316"/>
      <c r="I30" s="316"/>
      <c r="J30" s="320"/>
      <c r="K30" s="320"/>
      <c r="L30" s="374"/>
      <c r="M30" s="366"/>
    </row>
    <row r="31" spans="1:13" ht="21.75" customHeight="1" thickBot="1" x14ac:dyDescent="0.3">
      <c r="A31" s="320"/>
      <c r="B31" s="320"/>
      <c r="C31" s="338"/>
      <c r="D31" s="338"/>
      <c r="E31" s="338"/>
      <c r="F31" s="320"/>
      <c r="G31" s="375"/>
      <c r="H31" s="317"/>
      <c r="I31" s="316"/>
      <c r="J31" s="320"/>
      <c r="K31" s="320"/>
      <c r="L31" s="374"/>
      <c r="M31" s="366"/>
    </row>
    <row r="32" spans="1:13" x14ac:dyDescent="0.25">
      <c r="A32" s="320"/>
      <c r="B32" s="320"/>
      <c r="C32" s="338"/>
      <c r="D32" s="338"/>
      <c r="E32" s="338"/>
      <c r="F32" s="320"/>
      <c r="G32" s="343" t="s">
        <v>52</v>
      </c>
      <c r="H32" s="333" t="s">
        <v>19</v>
      </c>
      <c r="I32" s="316"/>
      <c r="J32" s="320"/>
      <c r="K32" s="320"/>
      <c r="L32" s="374"/>
      <c r="M32" s="366"/>
    </row>
    <row r="33" spans="1:13" ht="15.75" thickBot="1" x14ac:dyDescent="0.3">
      <c r="A33" s="321"/>
      <c r="B33" s="321"/>
      <c r="C33" s="339"/>
      <c r="D33" s="339"/>
      <c r="E33" s="339"/>
      <c r="F33" s="321"/>
      <c r="G33" s="344"/>
      <c r="H33" s="334"/>
      <c r="I33" s="317"/>
      <c r="J33" s="321"/>
      <c r="K33" s="321"/>
      <c r="L33" s="375"/>
      <c r="M33" s="367"/>
    </row>
    <row r="34" spans="1:13" x14ac:dyDescent="0.25">
      <c r="A34" s="111">
        <v>1</v>
      </c>
      <c r="B34" s="112">
        <v>2</v>
      </c>
      <c r="C34" s="113">
        <v>3</v>
      </c>
      <c r="D34" s="113">
        <v>4</v>
      </c>
      <c r="E34" s="113">
        <v>5</v>
      </c>
      <c r="F34" s="113">
        <v>6</v>
      </c>
      <c r="G34" s="113">
        <v>10</v>
      </c>
      <c r="H34" s="113">
        <v>11</v>
      </c>
      <c r="I34" s="114">
        <v>14</v>
      </c>
      <c r="J34" s="114">
        <v>15</v>
      </c>
      <c r="K34" s="114">
        <v>16</v>
      </c>
      <c r="L34" s="113">
        <v>17</v>
      </c>
      <c r="M34" s="115">
        <v>18</v>
      </c>
    </row>
    <row r="35" spans="1:13" x14ac:dyDescent="0.25">
      <c r="A35" s="376" t="s">
        <v>284</v>
      </c>
      <c r="B35" s="377"/>
      <c r="C35" s="113"/>
      <c r="D35" s="113"/>
      <c r="E35" s="113"/>
      <c r="F35" s="113"/>
      <c r="G35" s="113"/>
      <c r="H35" s="113"/>
      <c r="I35" s="114"/>
      <c r="J35" s="114"/>
      <c r="K35" s="114"/>
      <c r="L35" s="113"/>
      <c r="M35" s="115"/>
    </row>
    <row r="36" spans="1:13" x14ac:dyDescent="0.25">
      <c r="A36" s="111">
        <v>1</v>
      </c>
      <c r="B36" s="250" t="s">
        <v>73</v>
      </c>
      <c r="C36" s="113" t="s">
        <v>103</v>
      </c>
      <c r="D36" s="113">
        <v>3.72</v>
      </c>
      <c r="E36" s="117">
        <v>17697</v>
      </c>
      <c r="F36" s="117">
        <f>D36*E36</f>
        <v>65832.84</v>
      </c>
      <c r="G36" s="158">
        <v>1.5</v>
      </c>
      <c r="H36" s="117">
        <f t="shared" ref="H36:H38" si="4">E36*G36</f>
        <v>26545.5</v>
      </c>
      <c r="I36" s="117">
        <f t="shared" ref="I36:I38" si="5">F36+H36</f>
        <v>92378.34</v>
      </c>
      <c r="J36" s="117">
        <f>I36/163.33</f>
        <v>565.59321618808542</v>
      </c>
      <c r="K36" s="117">
        <f>J36/60</f>
        <v>9.4265536031347565</v>
      </c>
      <c r="L36" s="117">
        <v>15</v>
      </c>
      <c r="M36" s="118">
        <f>K36*L36</f>
        <v>141.39830404702136</v>
      </c>
    </row>
    <row r="37" spans="1:13" x14ac:dyDescent="0.25">
      <c r="A37" s="146">
        <v>6</v>
      </c>
      <c r="B37" s="250" t="s">
        <v>77</v>
      </c>
      <c r="C37" s="147" t="s">
        <v>105</v>
      </c>
      <c r="D37" s="147">
        <v>5</v>
      </c>
      <c r="E37" s="117">
        <v>17697</v>
      </c>
      <c r="F37" s="117">
        <f t="shared" ref="F37:F38" si="6">D37*E37</f>
        <v>88485</v>
      </c>
      <c r="G37" s="158">
        <v>1.5</v>
      </c>
      <c r="H37" s="117">
        <f t="shared" si="4"/>
        <v>26545.5</v>
      </c>
      <c r="I37" s="117">
        <f t="shared" si="5"/>
        <v>115030.5</v>
      </c>
      <c r="J37" s="117">
        <f t="shared" ref="J37" si="7">I37/163.33</f>
        <v>704.28274046409103</v>
      </c>
      <c r="K37" s="117">
        <f t="shared" ref="K37" si="8">J37/60</f>
        <v>11.738045674401517</v>
      </c>
      <c r="L37" s="117">
        <v>45</v>
      </c>
      <c r="M37" s="118">
        <f t="shared" ref="M37" si="9">K37*L37</f>
        <v>528.21205534806825</v>
      </c>
    </row>
    <row r="38" spans="1:13" x14ac:dyDescent="0.25">
      <c r="A38" s="111">
        <v>7</v>
      </c>
      <c r="B38" s="250" t="s">
        <v>74</v>
      </c>
      <c r="C38" s="147" t="s">
        <v>105</v>
      </c>
      <c r="D38" s="113">
        <v>5</v>
      </c>
      <c r="E38" s="117">
        <v>17697</v>
      </c>
      <c r="F38" s="117">
        <f t="shared" si="6"/>
        <v>88485</v>
      </c>
      <c r="G38" s="158">
        <v>1.5</v>
      </c>
      <c r="H38" s="117">
        <f t="shared" si="4"/>
        <v>26545.5</v>
      </c>
      <c r="I38" s="117">
        <f t="shared" si="5"/>
        <v>115030.5</v>
      </c>
      <c r="J38" s="117">
        <f>I38/163.33</f>
        <v>704.28274046409103</v>
      </c>
      <c r="K38" s="117">
        <f>J38/60</f>
        <v>11.738045674401517</v>
      </c>
      <c r="L38" s="117">
        <v>45</v>
      </c>
      <c r="M38" s="118">
        <f>K38*L38</f>
        <v>528.21205534806825</v>
      </c>
    </row>
    <row r="39" spans="1:13" x14ac:dyDescent="0.25">
      <c r="A39" s="146">
        <v>9</v>
      </c>
      <c r="B39" s="177" t="s">
        <v>97</v>
      </c>
      <c r="C39" s="147" t="s">
        <v>106</v>
      </c>
      <c r="D39" s="113">
        <v>3.77</v>
      </c>
      <c r="E39" s="117">
        <v>17697</v>
      </c>
      <c r="F39" s="117">
        <f t="shared" ref="F39" si="10">D39*E39</f>
        <v>66717.69</v>
      </c>
      <c r="G39" s="158">
        <v>1</v>
      </c>
      <c r="H39" s="117">
        <f t="shared" ref="H39" si="11">E39*G39</f>
        <v>17697</v>
      </c>
      <c r="I39" s="117">
        <f t="shared" ref="I39" si="12">F39+H39</f>
        <v>84414.69</v>
      </c>
      <c r="J39" s="117">
        <f t="shared" ref="J39" si="13">I39/163.33</f>
        <v>516.83518030980224</v>
      </c>
      <c r="K39" s="117">
        <f t="shared" ref="K39" si="14">J39/60</f>
        <v>8.6139196718300379</v>
      </c>
      <c r="L39" s="117">
        <v>15</v>
      </c>
      <c r="M39" s="118">
        <f t="shared" ref="M39" si="15">K39*L39</f>
        <v>129.20879507745056</v>
      </c>
    </row>
    <row r="40" spans="1:13" x14ac:dyDescent="0.25">
      <c r="A40" s="111">
        <v>13</v>
      </c>
      <c r="B40" s="177" t="s">
        <v>99</v>
      </c>
      <c r="C40" s="147" t="s">
        <v>104</v>
      </c>
      <c r="D40" s="113">
        <v>2.75</v>
      </c>
      <c r="E40" s="117">
        <v>17697</v>
      </c>
      <c r="F40" s="117">
        <f t="shared" ref="F40" si="16">D40*E40</f>
        <v>48666.75</v>
      </c>
      <c r="G40" s="158">
        <v>1</v>
      </c>
      <c r="H40" s="117">
        <f t="shared" ref="H40" si="17">E40*G40</f>
        <v>17697</v>
      </c>
      <c r="I40" s="117">
        <f t="shared" ref="I40" si="18">F40+H40</f>
        <v>66363.75</v>
      </c>
      <c r="J40" s="117">
        <f t="shared" ref="J40" si="19">I40/163.33</f>
        <v>406.31696565236024</v>
      </c>
      <c r="K40" s="117">
        <f t="shared" ref="K40" si="20">J40/60</f>
        <v>6.7719494275393375</v>
      </c>
      <c r="L40" s="117">
        <v>45</v>
      </c>
      <c r="M40" s="118">
        <f t="shared" ref="M40" si="21">K40*L40</f>
        <v>304.73772423927016</v>
      </c>
    </row>
    <row r="41" spans="1:13" x14ac:dyDescent="0.25">
      <c r="A41" s="111">
        <v>14</v>
      </c>
      <c r="B41" s="177" t="s">
        <v>283</v>
      </c>
      <c r="C41" s="147" t="s">
        <v>104</v>
      </c>
      <c r="D41" s="113">
        <v>2.8</v>
      </c>
      <c r="E41" s="117">
        <v>17697</v>
      </c>
      <c r="F41" s="117">
        <f t="shared" ref="F41" si="22">D41*E41</f>
        <v>49551.6</v>
      </c>
      <c r="G41" s="158">
        <v>1</v>
      </c>
      <c r="H41" s="117">
        <f t="shared" ref="H41" si="23">E41*G41</f>
        <v>17697</v>
      </c>
      <c r="I41" s="117">
        <f t="shared" ref="I41" si="24">F41+H41</f>
        <v>67248.600000000006</v>
      </c>
      <c r="J41" s="117">
        <f t="shared" ref="J41" si="25">I41/163.33</f>
        <v>411.73452519439172</v>
      </c>
      <c r="K41" s="117">
        <f t="shared" ref="K41" si="26">J41/60</f>
        <v>6.862242086573195</v>
      </c>
      <c r="L41" s="117">
        <v>30</v>
      </c>
      <c r="M41" s="118">
        <f t="shared" ref="M41" si="27">K41*L41</f>
        <v>205.86726259719586</v>
      </c>
    </row>
    <row r="42" spans="1:13" x14ac:dyDescent="0.25">
      <c r="A42" s="146">
        <v>15</v>
      </c>
      <c r="B42" s="177" t="s">
        <v>101</v>
      </c>
      <c r="C42" s="147">
        <v>4</v>
      </c>
      <c r="D42" s="113">
        <v>2.5099999999999998</v>
      </c>
      <c r="E42" s="117">
        <v>17697</v>
      </c>
      <c r="F42" s="117">
        <f t="shared" ref="F42" si="28">D42*E42</f>
        <v>44419.469999999994</v>
      </c>
      <c r="G42" s="158"/>
      <c r="H42" s="117">
        <f t="shared" ref="H42" si="29">E42*G42</f>
        <v>0</v>
      </c>
      <c r="I42" s="117">
        <f t="shared" ref="I42" si="30">F42+H42</f>
        <v>44419.469999999994</v>
      </c>
      <c r="J42" s="117">
        <f t="shared" ref="J42" si="31">I42/163.33</f>
        <v>271.96148900997974</v>
      </c>
      <c r="K42" s="117">
        <f t="shared" ref="K42" si="32">J42/60</f>
        <v>4.5326914834996623</v>
      </c>
      <c r="L42" s="117">
        <v>15</v>
      </c>
      <c r="M42" s="118">
        <f t="shared" ref="M42" si="33">K42*L42</f>
        <v>67.990372252494936</v>
      </c>
    </row>
    <row r="43" spans="1:13" ht="15.75" thickBot="1" x14ac:dyDescent="0.3">
      <c r="A43" s="119"/>
      <c r="B43" s="120" t="s">
        <v>54</v>
      </c>
      <c r="C43" s="121"/>
      <c r="D43" s="122"/>
      <c r="E43" s="122"/>
      <c r="F43" s="122"/>
      <c r="G43" s="122"/>
      <c r="H43" s="122"/>
      <c r="I43" s="122"/>
      <c r="J43" s="122"/>
      <c r="K43" s="122"/>
      <c r="L43" s="122"/>
      <c r="M43" s="123">
        <f>SUM(M36:M40)</f>
        <v>1631.7689340598786</v>
      </c>
    </row>
    <row r="44" spans="1:13" x14ac:dyDescent="0.25">
      <c r="A44" s="376" t="s">
        <v>285</v>
      </c>
      <c r="B44" s="377"/>
      <c r="C44" s="113"/>
      <c r="D44" s="113"/>
      <c r="E44" s="113"/>
      <c r="F44" s="113"/>
      <c r="G44" s="113"/>
      <c r="H44" s="113"/>
      <c r="I44" s="114"/>
      <c r="J44" s="114"/>
      <c r="K44" s="114"/>
      <c r="L44" s="113"/>
      <c r="M44" s="115"/>
    </row>
    <row r="45" spans="1:13" x14ac:dyDescent="0.25">
      <c r="A45" s="111">
        <v>1</v>
      </c>
      <c r="B45" s="250" t="s">
        <v>73</v>
      </c>
      <c r="C45" s="113" t="s">
        <v>103</v>
      </c>
      <c r="D45" s="113">
        <v>3.72</v>
      </c>
      <c r="E45" s="117">
        <v>17697</v>
      </c>
      <c r="F45" s="117">
        <f>D45*E45</f>
        <v>65832.84</v>
      </c>
      <c r="G45" s="158">
        <v>0.5</v>
      </c>
      <c r="H45" s="117">
        <f t="shared" ref="H45:H50" si="34">E45*G45</f>
        <v>8848.5</v>
      </c>
      <c r="I45" s="117">
        <f t="shared" ref="I45:I50" si="35">F45+H45</f>
        <v>74681.34</v>
      </c>
      <c r="J45" s="117">
        <f>I45/163.33</f>
        <v>457.24202534745604</v>
      </c>
      <c r="K45" s="117">
        <f>J45/60</f>
        <v>7.6207004224576007</v>
      </c>
      <c r="L45" s="117">
        <v>15</v>
      </c>
      <c r="M45" s="118">
        <f>K45*L45</f>
        <v>114.31050633686401</v>
      </c>
    </row>
    <row r="46" spans="1:13" x14ac:dyDescent="0.25">
      <c r="A46" s="111">
        <v>2</v>
      </c>
      <c r="B46" s="250" t="s">
        <v>75</v>
      </c>
      <c r="C46" s="113" t="s">
        <v>103</v>
      </c>
      <c r="D46" s="113">
        <v>3.28</v>
      </c>
      <c r="E46" s="117">
        <v>17697</v>
      </c>
      <c r="F46" s="117">
        <f t="shared" ref="F46:F49" si="36">D46*E46</f>
        <v>58046.159999999996</v>
      </c>
      <c r="G46" s="158">
        <v>0.5</v>
      </c>
      <c r="H46" s="117">
        <f t="shared" si="34"/>
        <v>8848.5</v>
      </c>
      <c r="I46" s="117">
        <f t="shared" si="35"/>
        <v>66894.66</v>
      </c>
      <c r="J46" s="117">
        <f>I46/163.33</f>
        <v>409.56750137757911</v>
      </c>
      <c r="K46" s="117">
        <f>J46/60</f>
        <v>6.8261250229596522</v>
      </c>
      <c r="L46" s="117">
        <v>40</v>
      </c>
      <c r="M46" s="118">
        <f>K46*L46</f>
        <v>273.04500091838611</v>
      </c>
    </row>
    <row r="47" spans="1:13" x14ac:dyDescent="0.25">
      <c r="A47" s="111">
        <v>3</v>
      </c>
      <c r="B47" s="250" t="s">
        <v>76</v>
      </c>
      <c r="C47" s="113" t="s">
        <v>103</v>
      </c>
      <c r="D47" s="113">
        <v>3.72</v>
      </c>
      <c r="E47" s="117">
        <v>17697</v>
      </c>
      <c r="F47" s="117">
        <f t="shared" si="36"/>
        <v>65832.84</v>
      </c>
      <c r="G47" s="158">
        <v>0.5</v>
      </c>
      <c r="H47" s="117">
        <f t="shared" si="34"/>
        <v>8848.5</v>
      </c>
      <c r="I47" s="117">
        <f t="shared" si="35"/>
        <v>74681.34</v>
      </c>
      <c r="J47" s="117">
        <f t="shared" ref="J47:J48" si="37">I47/163.33</f>
        <v>457.24202534745604</v>
      </c>
      <c r="K47" s="117">
        <f t="shared" ref="K47:K48" si="38">J47/60</f>
        <v>7.6207004224576007</v>
      </c>
      <c r="L47" s="117">
        <v>30</v>
      </c>
      <c r="M47" s="118">
        <f t="shared" ref="M47:M48" si="39">K47*L47</f>
        <v>228.62101267372802</v>
      </c>
    </row>
    <row r="48" spans="1:13" x14ac:dyDescent="0.25">
      <c r="A48" s="111">
        <v>4</v>
      </c>
      <c r="B48" s="250" t="s">
        <v>77</v>
      </c>
      <c r="C48" s="147" t="s">
        <v>105</v>
      </c>
      <c r="D48" s="147">
        <v>5</v>
      </c>
      <c r="E48" s="117">
        <v>17697</v>
      </c>
      <c r="F48" s="117">
        <f t="shared" si="36"/>
        <v>88485</v>
      </c>
      <c r="G48" s="158">
        <v>0.5</v>
      </c>
      <c r="H48" s="117">
        <f t="shared" si="34"/>
        <v>8848.5</v>
      </c>
      <c r="I48" s="117">
        <f t="shared" si="35"/>
        <v>97333.5</v>
      </c>
      <c r="J48" s="117">
        <f t="shared" si="37"/>
        <v>595.93154962346171</v>
      </c>
      <c r="K48" s="117">
        <f t="shared" si="38"/>
        <v>9.9321924937243615</v>
      </c>
      <c r="L48" s="117">
        <v>45</v>
      </c>
      <c r="M48" s="118">
        <f t="shared" si="39"/>
        <v>446.94866221759628</v>
      </c>
    </row>
    <row r="49" spans="1:13" x14ac:dyDescent="0.25">
      <c r="A49" s="111">
        <v>5</v>
      </c>
      <c r="B49" s="250" t="s">
        <v>74</v>
      </c>
      <c r="C49" s="147" t="s">
        <v>105</v>
      </c>
      <c r="D49" s="113">
        <v>5</v>
      </c>
      <c r="E49" s="117">
        <v>17697</v>
      </c>
      <c r="F49" s="117">
        <f t="shared" si="36"/>
        <v>88485</v>
      </c>
      <c r="G49" s="158">
        <v>0.5</v>
      </c>
      <c r="H49" s="117">
        <f t="shared" si="34"/>
        <v>8848.5</v>
      </c>
      <c r="I49" s="117">
        <f t="shared" si="35"/>
        <v>97333.5</v>
      </c>
      <c r="J49" s="117">
        <f>I49/163.33</f>
        <v>595.93154962346171</v>
      </c>
      <c r="K49" s="117">
        <f>J49/60</f>
        <v>9.9321924937243615</v>
      </c>
      <c r="L49" s="117">
        <v>45</v>
      </c>
      <c r="M49" s="118">
        <f>K49*L49</f>
        <v>446.94866221759628</v>
      </c>
    </row>
    <row r="50" spans="1:13" x14ac:dyDescent="0.25">
      <c r="A50" s="111">
        <v>6</v>
      </c>
      <c r="B50" s="177" t="s">
        <v>97</v>
      </c>
      <c r="C50" s="147" t="s">
        <v>106</v>
      </c>
      <c r="D50" s="113">
        <v>3.77</v>
      </c>
      <c r="E50" s="117">
        <v>17697</v>
      </c>
      <c r="F50" s="117">
        <f>D50*E50</f>
        <v>66717.69</v>
      </c>
      <c r="G50" s="158">
        <v>0.4</v>
      </c>
      <c r="H50" s="117">
        <f t="shared" si="34"/>
        <v>7078.8</v>
      </c>
      <c r="I50" s="117">
        <f t="shared" si="35"/>
        <v>73796.490000000005</v>
      </c>
      <c r="J50" s="117">
        <f>I50/163.33</f>
        <v>451.82446580542461</v>
      </c>
      <c r="K50" s="117">
        <f>J50/60</f>
        <v>7.5304077634237432</v>
      </c>
      <c r="L50" s="117">
        <v>15</v>
      </c>
      <c r="M50" s="118">
        <f>K50*L50</f>
        <v>112.95611645135615</v>
      </c>
    </row>
    <row r="51" spans="1:13" x14ac:dyDescent="0.25">
      <c r="A51" s="111">
        <v>7</v>
      </c>
      <c r="B51" s="116" t="s">
        <v>98</v>
      </c>
      <c r="C51" s="147" t="s">
        <v>106</v>
      </c>
      <c r="D51" s="113">
        <v>3.77</v>
      </c>
      <c r="E51" s="117">
        <v>17697</v>
      </c>
      <c r="F51" s="117">
        <f t="shared" ref="F51:F53" si="40">D51*E51</f>
        <v>66717.69</v>
      </c>
      <c r="G51" s="158">
        <v>0.4</v>
      </c>
      <c r="H51" s="117">
        <f t="shared" ref="H51:H53" si="41">E51*G51</f>
        <v>7078.8</v>
      </c>
      <c r="I51" s="117">
        <f t="shared" ref="I51:I53" si="42">F51+H51</f>
        <v>73796.490000000005</v>
      </c>
      <c r="J51" s="117">
        <f t="shared" ref="J51:J53" si="43">I51/163.33</f>
        <v>451.82446580542461</v>
      </c>
      <c r="K51" s="117">
        <f t="shared" ref="K51:K53" si="44">J51/60</f>
        <v>7.5304077634237432</v>
      </c>
      <c r="L51" s="117">
        <v>40</v>
      </c>
      <c r="M51" s="118">
        <f t="shared" ref="M51:M53" si="45">K51*L51</f>
        <v>301.21631053694972</v>
      </c>
    </row>
    <row r="52" spans="1:13" x14ac:dyDescent="0.25">
      <c r="A52" s="111">
        <v>8</v>
      </c>
      <c r="B52" s="177" t="s">
        <v>100</v>
      </c>
      <c r="C52" s="147" t="s">
        <v>104</v>
      </c>
      <c r="D52" s="113">
        <v>2.75</v>
      </c>
      <c r="E52" s="117">
        <v>17697</v>
      </c>
      <c r="F52" s="117">
        <f t="shared" si="40"/>
        <v>48666.75</v>
      </c>
      <c r="G52" s="158">
        <v>0.4</v>
      </c>
      <c r="H52" s="117">
        <f t="shared" si="41"/>
        <v>7078.8</v>
      </c>
      <c r="I52" s="117">
        <f t="shared" si="42"/>
        <v>55745.55</v>
      </c>
      <c r="J52" s="117">
        <f t="shared" si="43"/>
        <v>341.30625114798261</v>
      </c>
      <c r="K52" s="117">
        <f t="shared" si="44"/>
        <v>5.6884375191330436</v>
      </c>
      <c r="L52" s="117">
        <v>30</v>
      </c>
      <c r="M52" s="118">
        <f t="shared" si="45"/>
        <v>170.6531255739913</v>
      </c>
    </row>
    <row r="53" spans="1:13" x14ac:dyDescent="0.25">
      <c r="A53" s="111">
        <v>9</v>
      </c>
      <c r="B53" s="177" t="s">
        <v>99</v>
      </c>
      <c r="C53" s="147" t="s">
        <v>104</v>
      </c>
      <c r="D53" s="113">
        <v>2.8</v>
      </c>
      <c r="E53" s="117">
        <v>17697</v>
      </c>
      <c r="F53" s="117">
        <f t="shared" si="40"/>
        <v>49551.6</v>
      </c>
      <c r="G53" s="158">
        <v>0.4</v>
      </c>
      <c r="H53" s="117">
        <f t="shared" si="41"/>
        <v>7078.8</v>
      </c>
      <c r="I53" s="117">
        <f t="shared" si="42"/>
        <v>56630.400000000001</v>
      </c>
      <c r="J53" s="117">
        <f t="shared" si="43"/>
        <v>346.72381069001409</v>
      </c>
      <c r="K53" s="117">
        <f t="shared" si="44"/>
        <v>5.7787301781669012</v>
      </c>
      <c r="L53" s="117">
        <v>45</v>
      </c>
      <c r="M53" s="118">
        <f t="shared" si="45"/>
        <v>260.04285801751053</v>
      </c>
    </row>
    <row r="54" spans="1:13" x14ac:dyDescent="0.25">
      <c r="A54" s="111">
        <v>10</v>
      </c>
      <c r="B54" s="177" t="s">
        <v>101</v>
      </c>
      <c r="C54" s="147">
        <v>4</v>
      </c>
      <c r="D54" s="113">
        <v>2.5099999999999998</v>
      </c>
      <c r="E54" s="117">
        <v>17697</v>
      </c>
      <c r="F54" s="117">
        <f t="shared" ref="F54" si="46">D54*E54</f>
        <v>44419.469999999994</v>
      </c>
      <c r="G54" s="158">
        <v>0.4</v>
      </c>
      <c r="H54" s="117">
        <f t="shared" ref="H54" si="47">E54*G54</f>
        <v>7078.8</v>
      </c>
      <c r="I54" s="117">
        <f t="shared" ref="I54" si="48">F54+H54</f>
        <v>51498.27</v>
      </c>
      <c r="J54" s="117">
        <f t="shared" ref="J54" si="49">I54/163.33</f>
        <v>315.3019653462315</v>
      </c>
      <c r="K54" s="117">
        <f t="shared" ref="K54" si="50">J54/60</f>
        <v>5.2550327557705252</v>
      </c>
      <c r="L54" s="117">
        <v>45</v>
      </c>
      <c r="M54" s="118">
        <f t="shared" ref="M54" si="51">K54*L54</f>
        <v>236.47647400967364</v>
      </c>
    </row>
    <row r="55" spans="1:13" ht="15.75" thickBot="1" x14ac:dyDescent="0.3">
      <c r="A55" s="119"/>
      <c r="B55" s="120" t="s">
        <v>54</v>
      </c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3">
        <f>SUM(M45:M54)</f>
        <v>2591.2187289536523</v>
      </c>
    </row>
    <row r="56" spans="1:13" ht="15.75" thickBot="1" x14ac:dyDescent="0.3"/>
    <row r="57" spans="1:13" ht="19.5" thickBot="1" x14ac:dyDescent="0.3">
      <c r="A57" s="370" t="s">
        <v>16</v>
      </c>
      <c r="B57" s="371"/>
      <c r="C57" s="371"/>
      <c r="D57" s="371"/>
      <c r="E57" s="371"/>
      <c r="F57" s="371"/>
      <c r="G57" s="371"/>
      <c r="H57" s="371"/>
      <c r="I57" s="371"/>
      <c r="J57" s="371"/>
      <c r="K57" s="371"/>
      <c r="L57" s="372"/>
      <c r="M57" s="167"/>
    </row>
    <row r="58" spans="1:13" ht="77.25" thickBot="1" x14ac:dyDescent="0.3">
      <c r="A58" s="168" t="s">
        <v>7</v>
      </c>
      <c r="B58" s="169" t="s">
        <v>55</v>
      </c>
      <c r="C58" s="170" t="s">
        <v>56</v>
      </c>
      <c r="D58" s="171" t="s">
        <v>57</v>
      </c>
      <c r="E58" s="169" t="s">
        <v>58</v>
      </c>
      <c r="F58" s="172" t="s">
        <v>59</v>
      </c>
      <c r="G58" s="173" t="s">
        <v>60</v>
      </c>
      <c r="H58" s="169" t="s">
        <v>61</v>
      </c>
      <c r="I58" s="169" t="s">
        <v>62</v>
      </c>
      <c r="J58" s="174" t="s">
        <v>63</v>
      </c>
      <c r="K58" s="175" t="s">
        <v>64</v>
      </c>
      <c r="L58" s="176" t="s">
        <v>65</v>
      </c>
    </row>
    <row r="59" spans="1:13" ht="25.5" x14ac:dyDescent="0.25">
      <c r="A59" s="124"/>
      <c r="B59" s="165" t="s">
        <v>78</v>
      </c>
      <c r="C59" s="91">
        <v>1</v>
      </c>
      <c r="D59" s="92">
        <v>2008</v>
      </c>
      <c r="E59" s="93">
        <v>13780000</v>
      </c>
      <c r="F59" s="93">
        <f>E59*100%</f>
        <v>13780000</v>
      </c>
      <c r="G59" s="136">
        <v>0.1</v>
      </c>
      <c r="H59" s="93">
        <f>E59-F59</f>
        <v>0</v>
      </c>
      <c r="I59" s="93">
        <f>H59*G59/100</f>
        <v>0</v>
      </c>
      <c r="J59" s="93">
        <f>I59/1968</f>
        <v>0</v>
      </c>
      <c r="K59" s="93">
        <v>15</v>
      </c>
      <c r="L59" s="126">
        <f>J59*K59</f>
        <v>0</v>
      </c>
    </row>
    <row r="60" spans="1:13" x14ac:dyDescent="0.25">
      <c r="E60" s="141"/>
    </row>
    <row r="61" spans="1:13" ht="18.75" x14ac:dyDescent="0.3">
      <c r="B61" s="130"/>
      <c r="C61" s="131"/>
      <c r="D61" s="132"/>
      <c r="E61" s="141"/>
      <c r="G61" s="133"/>
      <c r="H61" s="134"/>
      <c r="J61" s="127"/>
      <c r="K61" s="128"/>
    </row>
    <row r="62" spans="1:13" ht="18.75" x14ac:dyDescent="0.3">
      <c r="B62" s="143" t="s">
        <v>67</v>
      </c>
      <c r="C62" s="143" t="s">
        <v>68</v>
      </c>
      <c r="D62" s="144"/>
      <c r="E62" s="142" t="s">
        <v>69</v>
      </c>
      <c r="F62" s="135"/>
      <c r="G62" s="133"/>
      <c r="H62" s="134"/>
      <c r="J62" s="127"/>
      <c r="K62" s="128"/>
    </row>
    <row r="63" spans="1:13" ht="18.75" x14ac:dyDescent="0.3">
      <c r="B63" s="145"/>
      <c r="C63" s="143"/>
      <c r="D63" s="144"/>
      <c r="E63" s="142"/>
      <c r="F63" s="135"/>
      <c r="G63" s="133"/>
      <c r="H63" s="134"/>
      <c r="J63" s="127"/>
      <c r="K63" s="128"/>
    </row>
    <row r="64" spans="1:13" ht="18.75" x14ac:dyDescent="0.3">
      <c r="B64" s="145" t="s">
        <v>70</v>
      </c>
      <c r="C64" s="143" t="s">
        <v>68</v>
      </c>
      <c r="D64" s="144"/>
      <c r="E64" s="135" t="s">
        <v>71</v>
      </c>
      <c r="F64" s="144"/>
      <c r="G64" s="133"/>
      <c r="H64" s="134"/>
      <c r="J64" s="127"/>
      <c r="K64" s="128"/>
    </row>
    <row r="65" spans="2:6" ht="15.75" x14ac:dyDescent="0.25">
      <c r="B65" s="145"/>
      <c r="C65" s="135"/>
      <c r="D65" s="135"/>
      <c r="E65" s="135"/>
      <c r="F65" s="135"/>
    </row>
    <row r="66" spans="2:6" ht="15.75" x14ac:dyDescent="0.25">
      <c r="B66" s="135"/>
      <c r="C66" s="143"/>
      <c r="D66" s="135"/>
      <c r="E66" s="135"/>
      <c r="F66" s="135"/>
    </row>
    <row r="67" spans="2:6" ht="15.75" x14ac:dyDescent="0.25">
      <c r="B67" s="135"/>
      <c r="C67" s="129"/>
      <c r="D67" s="129"/>
      <c r="E67" s="129"/>
    </row>
  </sheetData>
  <mergeCells count="35">
    <mergeCell ref="A17:F17"/>
    <mergeCell ref="A57:L57"/>
    <mergeCell ref="G28:H31"/>
    <mergeCell ref="G32:G33"/>
    <mergeCell ref="H32:H33"/>
    <mergeCell ref="A35:B35"/>
    <mergeCell ref="A44:B44"/>
    <mergeCell ref="I28:I33"/>
    <mergeCell ref="J28:J33"/>
    <mergeCell ref="K28:K33"/>
    <mergeCell ref="L28:L33"/>
    <mergeCell ref="A21:F21"/>
    <mergeCell ref="M28:M33"/>
    <mergeCell ref="A27:M27"/>
    <mergeCell ref="A28:A33"/>
    <mergeCell ref="B28:B33"/>
    <mergeCell ref="C28:C33"/>
    <mergeCell ref="D28:D33"/>
    <mergeCell ref="E28:E33"/>
    <mergeCell ref="F28:F33"/>
    <mergeCell ref="A6:M6"/>
    <mergeCell ref="A7:M7"/>
    <mergeCell ref="A8:M8"/>
    <mergeCell ref="A10:A12"/>
    <mergeCell ref="B10:B12"/>
    <mergeCell ref="C10:H10"/>
    <mergeCell ref="I10:J10"/>
    <mergeCell ref="K10:K12"/>
    <mergeCell ref="L10:L12"/>
    <mergeCell ref="M10:M12"/>
    <mergeCell ref="D11:F11"/>
    <mergeCell ref="G11:G12"/>
    <mergeCell ref="H11:H12"/>
    <mergeCell ref="I11:I12"/>
    <mergeCell ref="J11:J12"/>
  </mergeCells>
  <pageMargins left="0.70866141732283472" right="0" top="0.59055118110236227" bottom="0.59055118110236227" header="0.31496062992125984" footer="0.31496062992125984"/>
  <pageSetup paperSize="9" scale="5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Normal="100" workbookViewId="0">
      <selection sqref="A1:S46"/>
    </sheetView>
  </sheetViews>
  <sheetFormatPr defaultRowHeight="15" x14ac:dyDescent="0.25"/>
  <cols>
    <col min="1" max="1" width="7" style="86" bestFit="1" customWidth="1"/>
    <col min="2" max="2" width="30.5703125" style="86" bestFit="1" customWidth="1"/>
    <col min="3" max="3" width="13.7109375" style="86" bestFit="1" customWidth="1"/>
    <col min="4" max="4" width="12" style="86" bestFit="1" customWidth="1"/>
    <col min="5" max="5" width="14.28515625" style="86" customWidth="1"/>
    <col min="6" max="6" width="13.7109375" style="86" customWidth="1"/>
    <col min="7" max="7" width="10.140625" style="86" customWidth="1"/>
    <col min="8" max="8" width="11" style="86" customWidth="1"/>
    <col min="9" max="14" width="9.140625" style="86"/>
    <col min="15" max="15" width="11.5703125" style="86" bestFit="1" customWidth="1"/>
    <col min="16" max="16384" width="9.140625" style="86"/>
  </cols>
  <sheetData>
    <row r="1" spans="1:17" s="89" customFormat="1" ht="18.75" x14ac:dyDescent="0.3">
      <c r="A1" s="94"/>
      <c r="B1" s="95"/>
      <c r="C1" s="96"/>
      <c r="D1" s="96"/>
      <c r="E1" s="94"/>
      <c r="F1" s="94"/>
      <c r="G1" s="96"/>
      <c r="H1" s="94"/>
      <c r="I1" s="345"/>
      <c r="J1" s="345"/>
      <c r="K1" s="345"/>
      <c r="L1" s="90"/>
      <c r="M1" s="97"/>
      <c r="N1" s="97" t="s">
        <v>0</v>
      </c>
      <c r="O1" s="97"/>
      <c r="P1" s="97"/>
      <c r="Q1" s="97"/>
    </row>
    <row r="2" spans="1:17" s="89" customFormat="1" ht="18.75" x14ac:dyDescent="0.3">
      <c r="A2" s="94"/>
      <c r="B2" s="95"/>
      <c r="C2" s="96"/>
      <c r="D2" s="96"/>
      <c r="E2" s="94"/>
      <c r="F2" s="94"/>
      <c r="G2" s="96"/>
      <c r="H2" s="94"/>
      <c r="I2" s="182"/>
      <c r="J2" s="182"/>
      <c r="K2" s="182"/>
      <c r="L2" s="90"/>
      <c r="M2" s="97"/>
      <c r="N2" s="97"/>
      <c r="O2" s="97"/>
      <c r="P2" s="97"/>
      <c r="Q2" s="98" t="s">
        <v>1</v>
      </c>
    </row>
    <row r="3" spans="1:17" s="89" customFormat="1" ht="18.75" x14ac:dyDescent="0.3">
      <c r="A3" s="94"/>
      <c r="B3" s="95"/>
      <c r="C3" s="96"/>
      <c r="D3" s="96"/>
      <c r="E3" s="94"/>
      <c r="F3" s="94"/>
      <c r="G3" s="96"/>
      <c r="H3" s="94"/>
      <c r="I3" s="182"/>
      <c r="J3" s="182"/>
      <c r="K3" s="182"/>
      <c r="L3" s="90"/>
      <c r="M3" s="97"/>
      <c r="N3" s="97"/>
      <c r="O3" s="97"/>
      <c r="P3" s="97"/>
      <c r="Q3" s="98" t="s">
        <v>2</v>
      </c>
    </row>
    <row r="4" spans="1:17" s="89" customFormat="1" ht="18.75" x14ac:dyDescent="0.3">
      <c r="A4" s="94"/>
      <c r="B4" s="95"/>
      <c r="C4" s="96"/>
      <c r="D4" s="96"/>
      <c r="E4" s="94"/>
      <c r="F4" s="94"/>
      <c r="G4" s="96"/>
      <c r="H4" s="94"/>
      <c r="I4" s="182"/>
      <c r="J4" s="182"/>
      <c r="K4" s="182"/>
      <c r="L4" s="90"/>
      <c r="M4" s="97"/>
      <c r="N4" s="97"/>
      <c r="O4" s="97"/>
      <c r="P4" s="97"/>
      <c r="Q4" s="98" t="s">
        <v>3</v>
      </c>
    </row>
    <row r="5" spans="1:17" s="89" customFormat="1" ht="18.75" x14ac:dyDescent="0.3">
      <c r="A5" s="94"/>
      <c r="B5" s="95"/>
      <c r="C5" s="96"/>
      <c r="D5" s="96"/>
      <c r="E5" s="94"/>
      <c r="F5" s="94"/>
      <c r="G5" s="96"/>
      <c r="H5" s="94"/>
      <c r="I5" s="182"/>
      <c r="J5" s="182"/>
      <c r="K5" s="182"/>
      <c r="L5" s="90"/>
      <c r="M5" s="97"/>
      <c r="N5" s="97"/>
      <c r="O5" s="97"/>
      <c r="P5" s="97"/>
      <c r="Q5" s="98" t="s">
        <v>112</v>
      </c>
    </row>
    <row r="6" spans="1:17" s="89" customFormat="1" ht="18.75" x14ac:dyDescent="0.3">
      <c r="A6" s="346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</row>
    <row r="7" spans="1:17" s="89" customFormat="1" ht="18.75" x14ac:dyDescent="0.25">
      <c r="A7" s="347" t="s">
        <v>308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</row>
    <row r="8" spans="1:17" s="89" customFormat="1" ht="18.75" x14ac:dyDescent="0.3">
      <c r="A8" s="346" t="s">
        <v>345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</row>
    <row r="9" spans="1:17" s="89" customFormat="1" ht="16.5" thickBot="1" x14ac:dyDescent="0.3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7" s="89" customFormat="1" ht="16.5" thickBot="1" x14ac:dyDescent="0.3">
      <c r="A10" s="348" t="s">
        <v>7</v>
      </c>
      <c r="B10" s="348" t="s">
        <v>8</v>
      </c>
      <c r="C10" s="351" t="s">
        <v>9</v>
      </c>
      <c r="D10" s="352"/>
      <c r="E10" s="352"/>
      <c r="F10" s="352"/>
      <c r="G10" s="353"/>
      <c r="H10" s="354"/>
      <c r="I10" s="351" t="s">
        <v>10</v>
      </c>
      <c r="J10" s="354"/>
      <c r="K10" s="348" t="s">
        <v>11</v>
      </c>
      <c r="L10" s="355" t="s">
        <v>12</v>
      </c>
      <c r="M10" s="355" t="s">
        <v>13</v>
      </c>
    </row>
    <row r="11" spans="1:17" s="89" customFormat="1" ht="48" thickBot="1" x14ac:dyDescent="0.3">
      <c r="A11" s="349"/>
      <c r="B11" s="349"/>
      <c r="C11" s="100" t="s">
        <v>14</v>
      </c>
      <c r="D11" s="360" t="s">
        <v>15</v>
      </c>
      <c r="E11" s="361"/>
      <c r="F11" s="362"/>
      <c r="G11" s="363" t="s">
        <v>16</v>
      </c>
      <c r="H11" s="348" t="s">
        <v>17</v>
      </c>
      <c r="I11" s="348" t="s">
        <v>18</v>
      </c>
      <c r="J11" s="348" t="s">
        <v>19</v>
      </c>
      <c r="K11" s="349"/>
      <c r="L11" s="356"/>
      <c r="M11" s="358"/>
    </row>
    <row r="12" spans="1:17" s="89" customFormat="1" ht="95.25" thickBot="1" x14ac:dyDescent="0.3">
      <c r="A12" s="350"/>
      <c r="B12" s="350"/>
      <c r="C12" s="101" t="s">
        <v>20</v>
      </c>
      <c r="D12" s="102" t="s">
        <v>21</v>
      </c>
      <c r="E12" s="103" t="s">
        <v>22</v>
      </c>
      <c r="F12" s="103" t="s">
        <v>23</v>
      </c>
      <c r="G12" s="364"/>
      <c r="H12" s="350"/>
      <c r="I12" s="350"/>
      <c r="J12" s="350"/>
      <c r="K12" s="350"/>
      <c r="L12" s="357"/>
      <c r="M12" s="359"/>
    </row>
    <row r="13" spans="1:17" s="89" customFormat="1" ht="15.75" x14ac:dyDescent="0.25">
      <c r="A13" s="23">
        <v>1</v>
      </c>
      <c r="B13" s="24">
        <v>2</v>
      </c>
      <c r="C13" s="25">
        <v>3</v>
      </c>
      <c r="D13" s="25">
        <v>4</v>
      </c>
      <c r="E13" s="26">
        <v>5</v>
      </c>
      <c r="F13" s="26">
        <v>6</v>
      </c>
      <c r="G13" s="25">
        <v>6</v>
      </c>
      <c r="H13" s="26">
        <v>7</v>
      </c>
      <c r="I13" s="26">
        <v>8</v>
      </c>
      <c r="J13" s="26">
        <v>9</v>
      </c>
      <c r="K13" s="26">
        <v>10</v>
      </c>
      <c r="L13" s="27">
        <v>11</v>
      </c>
      <c r="M13" s="28">
        <v>12</v>
      </c>
    </row>
    <row r="14" spans="1:17" s="89" customFormat="1" ht="49.5" customHeight="1" thickBot="1" x14ac:dyDescent="0.3">
      <c r="A14" s="29">
        <v>1</v>
      </c>
      <c r="B14" s="30" t="s">
        <v>113</v>
      </c>
      <c r="C14" s="104">
        <f>F23</f>
        <v>9000</v>
      </c>
      <c r="D14" s="104">
        <f>S34</f>
        <v>1017.3201659217533</v>
      </c>
      <c r="E14" s="104">
        <f>D14*12%</f>
        <v>122.07841991061039</v>
      </c>
      <c r="F14" s="104"/>
      <c r="G14" s="104">
        <f>L38</f>
        <v>0</v>
      </c>
      <c r="H14" s="104">
        <f>C14+D14+E14+G14</f>
        <v>10139.398585832365</v>
      </c>
      <c r="I14" s="105">
        <f>Смета!E21</f>
        <v>0.10000021516836566</v>
      </c>
      <c r="J14" s="104">
        <f>D14*I14</f>
        <v>101.73223548729278</v>
      </c>
      <c r="K14" s="104">
        <f>H14+J14</f>
        <v>10241.130821319657</v>
      </c>
      <c r="L14" s="106">
        <f>(K14*30%)</f>
        <v>3072.3392463958971</v>
      </c>
      <c r="M14" s="34">
        <f>K14+L14</f>
        <v>13313.470067715554</v>
      </c>
      <c r="N14" s="90" t="s">
        <v>348</v>
      </c>
      <c r="O14" s="90"/>
      <c r="P14" s="90"/>
      <c r="Q14" s="90"/>
    </row>
    <row r="15" spans="1:17" s="89" customFormat="1" ht="49.5" customHeight="1" thickBot="1" x14ac:dyDescent="0.3">
      <c r="A15" s="29">
        <v>2</v>
      </c>
      <c r="B15" s="30" t="s">
        <v>114</v>
      </c>
      <c r="C15" s="104">
        <f>F22</f>
        <v>100</v>
      </c>
      <c r="D15" s="104">
        <f>S33</f>
        <v>1017.3201659217533</v>
      </c>
      <c r="E15" s="104">
        <f>D15*12%</f>
        <v>122.07841991061039</v>
      </c>
      <c r="F15" s="104"/>
      <c r="G15" s="104"/>
      <c r="H15" s="104">
        <f>C15+D15+E15+G15</f>
        <v>1239.3985858323638</v>
      </c>
      <c r="I15" s="105">
        <f>Смета!E21</f>
        <v>0.10000021516836566</v>
      </c>
      <c r="J15" s="104">
        <f>D15*I15</f>
        <v>101.73223548729278</v>
      </c>
      <c r="K15" s="104">
        <f>H15+J15</f>
        <v>1341.1308213196567</v>
      </c>
      <c r="L15" s="106">
        <f>(K15*30%)</f>
        <v>402.33924639589696</v>
      </c>
      <c r="M15" s="34">
        <f>K15+L15</f>
        <v>1743.4700677155536</v>
      </c>
      <c r="N15" s="90" t="s">
        <v>349</v>
      </c>
      <c r="O15" s="90"/>
      <c r="P15" s="90"/>
      <c r="Q15" s="90"/>
    </row>
    <row r="16" spans="1:17" s="89" customFormat="1" x14ac:dyDescent="0.25">
      <c r="A16" s="107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90"/>
      <c r="M16" s="90"/>
      <c r="N16" s="90" t="s">
        <v>350</v>
      </c>
      <c r="O16" s="90"/>
      <c r="P16" s="90"/>
      <c r="Q16" s="90"/>
    </row>
    <row r="17" spans="1:19" s="89" customFormat="1" ht="18.75" x14ac:dyDescent="0.25">
      <c r="A17" s="318" t="s">
        <v>351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</row>
    <row r="18" spans="1:19" s="89" customFormat="1" ht="15.75" thickBot="1" x14ac:dyDescent="0.3">
      <c r="A18" s="38"/>
      <c r="B18" s="39"/>
      <c r="C18" s="40"/>
      <c r="D18" s="40"/>
      <c r="E18" s="41"/>
      <c r="F18" s="41"/>
      <c r="G18" s="40"/>
      <c r="H18" s="41"/>
      <c r="I18" s="42"/>
      <c r="J18" s="41"/>
      <c r="K18" s="41"/>
    </row>
    <row r="19" spans="1:19" s="89" customFormat="1" ht="51" x14ac:dyDescent="0.25">
      <c r="A19" s="183" t="s">
        <v>7</v>
      </c>
      <c r="B19" s="184" t="s">
        <v>27</v>
      </c>
      <c r="C19" s="184" t="s">
        <v>28</v>
      </c>
      <c r="D19" s="184" t="s">
        <v>29</v>
      </c>
      <c r="E19" s="184" t="s">
        <v>30</v>
      </c>
      <c r="F19" s="185" t="s">
        <v>31</v>
      </c>
      <c r="O19" s="89" t="s">
        <v>352</v>
      </c>
    </row>
    <row r="20" spans="1:19" s="89" customFormat="1" ht="25.5" x14ac:dyDescent="0.25">
      <c r="A20" s="190">
        <v>1</v>
      </c>
      <c r="B20" s="137" t="s">
        <v>110</v>
      </c>
      <c r="C20" s="138">
        <v>1</v>
      </c>
      <c r="D20" s="139">
        <v>5200</v>
      </c>
      <c r="E20" s="140">
        <v>1</v>
      </c>
      <c r="F20" s="83">
        <f>D20*E20</f>
        <v>5200</v>
      </c>
      <c r="G20" s="110"/>
      <c r="O20" s="89" t="s">
        <v>353</v>
      </c>
    </row>
    <row r="21" spans="1:19" s="89" customFormat="1" ht="25.5" x14ac:dyDescent="0.25">
      <c r="A21" s="190">
        <v>2</v>
      </c>
      <c r="B21" s="137" t="s">
        <v>293</v>
      </c>
      <c r="C21" s="138">
        <v>1</v>
      </c>
      <c r="D21" s="139">
        <v>3700</v>
      </c>
      <c r="E21" s="140">
        <v>1</v>
      </c>
      <c r="F21" s="83">
        <f t="shared" ref="F21:F22" si="0">D21*E21</f>
        <v>3700</v>
      </c>
      <c r="G21" s="110"/>
      <c r="O21" s="89" t="s">
        <v>354</v>
      </c>
    </row>
    <row r="22" spans="1:19" s="89" customFormat="1" ht="25.5" x14ac:dyDescent="0.25">
      <c r="A22" s="191">
        <v>3</v>
      </c>
      <c r="B22" s="186" t="s">
        <v>115</v>
      </c>
      <c r="C22" s="187">
        <v>1</v>
      </c>
      <c r="D22" s="188">
        <v>100</v>
      </c>
      <c r="E22" s="189">
        <v>1</v>
      </c>
      <c r="F22" s="83">
        <f t="shared" si="0"/>
        <v>100</v>
      </c>
      <c r="G22" s="110"/>
    </row>
    <row r="23" spans="1:19" s="89" customFormat="1" ht="15.75" customHeight="1" thickBot="1" x14ac:dyDescent="0.3">
      <c r="A23" s="326" t="s">
        <v>33</v>
      </c>
      <c r="B23" s="327"/>
      <c r="C23" s="327"/>
      <c r="D23" s="327"/>
      <c r="E23" s="327"/>
      <c r="F23" s="85">
        <f>F20+F21+F22</f>
        <v>9000</v>
      </c>
      <c r="G23" s="110"/>
    </row>
    <row r="24" spans="1:19" s="89" customFormat="1" ht="18.75" x14ac:dyDescent="0.25">
      <c r="A24" s="328" t="s">
        <v>37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</row>
    <row r="25" spans="1:19" s="89" customFormat="1" ht="19.5" thickBot="1" x14ac:dyDescent="0.3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 t="s">
        <v>38</v>
      </c>
    </row>
    <row r="26" spans="1:19" s="89" customFormat="1" ht="15.75" thickBot="1" x14ac:dyDescent="0.3">
      <c r="A26" s="319" t="s">
        <v>7</v>
      </c>
      <c r="B26" s="319" t="s">
        <v>39</v>
      </c>
      <c r="C26" s="337" t="s">
        <v>40</v>
      </c>
      <c r="D26" s="337" t="s">
        <v>41</v>
      </c>
      <c r="E26" s="337" t="s">
        <v>102</v>
      </c>
      <c r="F26" s="319" t="s">
        <v>43</v>
      </c>
      <c r="G26" s="319" t="s">
        <v>107</v>
      </c>
      <c r="H26" s="373" t="s">
        <v>108</v>
      </c>
      <c r="I26" s="341"/>
      <c r="J26" s="341"/>
      <c r="K26" s="341"/>
      <c r="L26" s="341"/>
      <c r="M26" s="341"/>
      <c r="N26" s="342"/>
      <c r="O26" s="315" t="s">
        <v>44</v>
      </c>
      <c r="P26" s="319" t="s">
        <v>45</v>
      </c>
      <c r="Q26" s="319" t="s">
        <v>46</v>
      </c>
      <c r="R26" s="373" t="s">
        <v>47</v>
      </c>
      <c r="S26" s="365" t="s">
        <v>48</v>
      </c>
    </row>
    <row r="27" spans="1:19" s="89" customFormat="1" x14ac:dyDescent="0.25">
      <c r="A27" s="320"/>
      <c r="B27" s="320"/>
      <c r="C27" s="338"/>
      <c r="D27" s="338"/>
      <c r="E27" s="338"/>
      <c r="F27" s="320"/>
      <c r="G27" s="320"/>
      <c r="H27" s="374"/>
      <c r="I27" s="373" t="s">
        <v>49</v>
      </c>
      <c r="J27" s="315"/>
      <c r="K27" s="373" t="s">
        <v>50</v>
      </c>
      <c r="L27" s="315"/>
      <c r="M27" s="382" t="s">
        <v>51</v>
      </c>
      <c r="N27" s="383"/>
      <c r="O27" s="316"/>
      <c r="P27" s="320"/>
      <c r="Q27" s="320"/>
      <c r="R27" s="374"/>
      <c r="S27" s="366"/>
    </row>
    <row r="28" spans="1:19" s="89" customFormat="1" x14ac:dyDescent="0.25">
      <c r="A28" s="320"/>
      <c r="B28" s="320"/>
      <c r="C28" s="338"/>
      <c r="D28" s="338"/>
      <c r="E28" s="338"/>
      <c r="F28" s="320"/>
      <c r="G28" s="320"/>
      <c r="H28" s="374"/>
      <c r="I28" s="378"/>
      <c r="J28" s="379"/>
      <c r="K28" s="378"/>
      <c r="L28" s="379"/>
      <c r="M28" s="384"/>
      <c r="N28" s="385"/>
      <c r="O28" s="316"/>
      <c r="P28" s="320"/>
      <c r="Q28" s="320"/>
      <c r="R28" s="374"/>
      <c r="S28" s="366"/>
    </row>
    <row r="29" spans="1:19" s="89" customFormat="1" ht="15.75" thickBot="1" x14ac:dyDescent="0.3">
      <c r="A29" s="320"/>
      <c r="B29" s="320"/>
      <c r="C29" s="338"/>
      <c r="D29" s="338"/>
      <c r="E29" s="338"/>
      <c r="F29" s="320"/>
      <c r="G29" s="320"/>
      <c r="H29" s="374"/>
      <c r="I29" s="380"/>
      <c r="J29" s="381"/>
      <c r="K29" s="380"/>
      <c r="L29" s="381"/>
      <c r="M29" s="386"/>
      <c r="N29" s="387"/>
      <c r="O29" s="316"/>
      <c r="P29" s="320"/>
      <c r="Q29" s="320"/>
      <c r="R29" s="374"/>
      <c r="S29" s="366"/>
    </row>
    <row r="30" spans="1:19" s="89" customFormat="1" x14ac:dyDescent="0.25">
      <c r="A30" s="320"/>
      <c r="B30" s="320"/>
      <c r="C30" s="338"/>
      <c r="D30" s="338"/>
      <c r="E30" s="338"/>
      <c r="F30" s="320"/>
      <c r="G30" s="320"/>
      <c r="H30" s="374"/>
      <c r="I30" s="388" t="s">
        <v>52</v>
      </c>
      <c r="J30" s="343" t="s">
        <v>19</v>
      </c>
      <c r="K30" s="343" t="s">
        <v>52</v>
      </c>
      <c r="L30" s="333" t="s">
        <v>19</v>
      </c>
      <c r="M30" s="335" t="s">
        <v>52</v>
      </c>
      <c r="N30" s="335" t="s">
        <v>19</v>
      </c>
      <c r="O30" s="316"/>
      <c r="P30" s="320"/>
      <c r="Q30" s="320"/>
      <c r="R30" s="374"/>
      <c r="S30" s="366"/>
    </row>
    <row r="31" spans="1:19" s="89" customFormat="1" ht="15.75" thickBot="1" x14ac:dyDescent="0.3">
      <c r="A31" s="321"/>
      <c r="B31" s="321"/>
      <c r="C31" s="339"/>
      <c r="D31" s="339"/>
      <c r="E31" s="339"/>
      <c r="F31" s="321"/>
      <c r="G31" s="321"/>
      <c r="H31" s="375"/>
      <c r="I31" s="389"/>
      <c r="J31" s="344"/>
      <c r="K31" s="344"/>
      <c r="L31" s="334"/>
      <c r="M31" s="336"/>
      <c r="N31" s="336"/>
      <c r="O31" s="317"/>
      <c r="P31" s="321"/>
      <c r="Q31" s="321"/>
      <c r="R31" s="375"/>
      <c r="S31" s="367"/>
    </row>
    <row r="32" spans="1:19" s="89" customFormat="1" x14ac:dyDescent="0.25">
      <c r="A32" s="111">
        <v>1</v>
      </c>
      <c r="B32" s="112">
        <v>2</v>
      </c>
      <c r="C32" s="113">
        <v>3</v>
      </c>
      <c r="D32" s="113">
        <v>4</v>
      </c>
      <c r="E32" s="113">
        <v>5</v>
      </c>
      <c r="F32" s="113">
        <v>6</v>
      </c>
      <c r="G32" s="113"/>
      <c r="H32" s="113"/>
      <c r="I32" s="113">
        <v>8</v>
      </c>
      <c r="J32" s="113">
        <v>9</v>
      </c>
      <c r="K32" s="113">
        <v>10</v>
      </c>
      <c r="L32" s="113">
        <v>11</v>
      </c>
      <c r="M32" s="51">
        <v>12</v>
      </c>
      <c r="N32" s="51">
        <v>13</v>
      </c>
      <c r="O32" s="114">
        <v>14</v>
      </c>
      <c r="P32" s="114">
        <v>15</v>
      </c>
      <c r="Q32" s="114">
        <v>16</v>
      </c>
      <c r="R32" s="113">
        <v>17</v>
      </c>
      <c r="S32" s="115">
        <v>18</v>
      </c>
    </row>
    <row r="33" spans="1:19" s="89" customFormat="1" x14ac:dyDescent="0.25">
      <c r="A33" s="111">
        <v>1</v>
      </c>
      <c r="B33" s="116" t="s">
        <v>53</v>
      </c>
      <c r="C33" s="113" t="s">
        <v>104</v>
      </c>
      <c r="D33" s="113">
        <v>3.57</v>
      </c>
      <c r="E33" s="117">
        <v>17697</v>
      </c>
      <c r="F33" s="117">
        <f t="shared" ref="F33" si="1">D33*E33</f>
        <v>63178.289999999994</v>
      </c>
      <c r="G33" s="117">
        <f>F33*1.63</f>
        <v>102980.61269999998</v>
      </c>
      <c r="H33" s="117">
        <f>F33+G33</f>
        <v>166158.90269999998</v>
      </c>
      <c r="I33" s="117"/>
      <c r="J33" s="117"/>
      <c r="K33" s="117"/>
      <c r="L33" s="117"/>
      <c r="M33" s="117"/>
      <c r="N33" s="117"/>
      <c r="O33" s="117">
        <f>H33+J33</f>
        <v>166158.90269999998</v>
      </c>
      <c r="P33" s="117">
        <f t="shared" ref="P33" si="2">O33/163.33</f>
        <v>1017.3201659217533</v>
      </c>
      <c r="Q33" s="117">
        <f t="shared" ref="Q33" si="3">P33/60</f>
        <v>16.955336098695888</v>
      </c>
      <c r="R33" s="117">
        <v>60</v>
      </c>
      <c r="S33" s="118">
        <f t="shared" ref="S33" si="4">Q33*R33</f>
        <v>1017.3201659217533</v>
      </c>
    </row>
    <row r="34" spans="1:19" s="89" customFormat="1" ht="15.75" thickBot="1" x14ac:dyDescent="0.3">
      <c r="A34" s="119"/>
      <c r="B34" s="120" t="s">
        <v>109</v>
      </c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3">
        <f>SUM(S33:S33)</f>
        <v>1017.3201659217533</v>
      </c>
    </row>
    <row r="35" spans="1:19" s="89" customFormat="1" x14ac:dyDescent="0.25"/>
    <row r="36" spans="1:19" s="89" customFormat="1" ht="19.5" thickBot="1" x14ac:dyDescent="0.3">
      <c r="A36" s="322" t="s">
        <v>16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</row>
    <row r="37" spans="1:19" s="89" customFormat="1" ht="77.25" thickBot="1" x14ac:dyDescent="0.3">
      <c r="A37" s="3" t="s">
        <v>7</v>
      </c>
      <c r="B37" s="4" t="s">
        <v>55</v>
      </c>
      <c r="C37" s="5" t="s">
        <v>56</v>
      </c>
      <c r="D37" s="6" t="s">
        <v>57</v>
      </c>
      <c r="E37" s="4" t="s">
        <v>58</v>
      </c>
      <c r="F37" s="7" t="s">
        <v>59</v>
      </c>
      <c r="G37" s="8" t="s">
        <v>60</v>
      </c>
      <c r="H37" s="4" t="s">
        <v>61</v>
      </c>
      <c r="I37" s="4" t="s">
        <v>62</v>
      </c>
      <c r="J37" s="9" t="s">
        <v>63</v>
      </c>
      <c r="K37" s="10" t="s">
        <v>64</v>
      </c>
      <c r="L37" s="11" t="s">
        <v>65</v>
      </c>
    </row>
    <row r="38" spans="1:19" s="89" customFormat="1" x14ac:dyDescent="0.25">
      <c r="A38" s="124"/>
      <c r="B38" s="125" t="s">
        <v>346</v>
      </c>
      <c r="C38" s="91">
        <v>1</v>
      </c>
      <c r="D38" s="92"/>
      <c r="E38" s="93" t="s">
        <v>347</v>
      </c>
      <c r="F38" s="93"/>
      <c r="G38" s="136"/>
      <c r="H38" s="93"/>
      <c r="I38" s="93"/>
      <c r="J38" s="93"/>
      <c r="K38" s="93"/>
      <c r="L38" s="126"/>
    </row>
    <row r="39" spans="1:19" s="89" customFormat="1" x14ac:dyDescent="0.25">
      <c r="E39" s="141"/>
    </row>
    <row r="40" spans="1:19" s="89" customFormat="1" ht="18.75" x14ac:dyDescent="0.3">
      <c r="B40" s="130"/>
      <c r="C40" s="131"/>
      <c r="D40" s="132"/>
      <c r="E40" s="141"/>
      <c r="G40" s="133"/>
      <c r="H40" s="134"/>
      <c r="J40" s="127"/>
      <c r="K40" s="128"/>
    </row>
    <row r="41" spans="1:19" s="89" customFormat="1" ht="18.75" x14ac:dyDescent="0.3">
      <c r="B41" s="143" t="s">
        <v>67</v>
      </c>
      <c r="C41" s="143" t="s">
        <v>68</v>
      </c>
      <c r="D41" s="144"/>
      <c r="E41" s="142" t="s">
        <v>69</v>
      </c>
      <c r="F41" s="135"/>
      <c r="G41" s="133"/>
      <c r="H41" s="134"/>
      <c r="J41" s="127"/>
      <c r="K41" s="128"/>
    </row>
    <row r="42" spans="1:19" s="89" customFormat="1" ht="18.75" x14ac:dyDescent="0.3">
      <c r="B42" s="145"/>
      <c r="C42" s="143"/>
      <c r="D42" s="144"/>
      <c r="E42" s="142"/>
      <c r="F42" s="135"/>
      <c r="G42" s="133"/>
      <c r="H42" s="134"/>
      <c r="J42" s="127"/>
      <c r="K42" s="128"/>
    </row>
    <row r="43" spans="1:19" s="89" customFormat="1" ht="18.75" x14ac:dyDescent="0.3">
      <c r="B43" s="145" t="s">
        <v>70</v>
      </c>
      <c r="C43" s="143" t="s">
        <v>68</v>
      </c>
      <c r="D43" s="144"/>
      <c r="E43" s="135" t="s">
        <v>71</v>
      </c>
      <c r="F43" s="144"/>
      <c r="G43" s="133"/>
      <c r="H43" s="134"/>
      <c r="J43" s="127"/>
      <c r="K43" s="128"/>
    </row>
    <row r="44" spans="1:19" s="89" customFormat="1" ht="15.75" x14ac:dyDescent="0.25">
      <c r="B44" s="145"/>
      <c r="C44" s="135"/>
      <c r="D44" s="135"/>
      <c r="E44" s="135"/>
      <c r="F44" s="135"/>
    </row>
    <row r="45" spans="1:19" s="89" customFormat="1" ht="15.75" x14ac:dyDescent="0.25">
      <c r="B45" s="135"/>
      <c r="C45" s="143"/>
      <c r="D45" s="135"/>
      <c r="E45" s="135"/>
      <c r="F45" s="135"/>
    </row>
  </sheetData>
  <mergeCells count="43">
    <mergeCell ref="I1:K1"/>
    <mergeCell ref="A6:Q6"/>
    <mergeCell ref="A7:Q7"/>
    <mergeCell ref="A8:Q8"/>
    <mergeCell ref="A10:A12"/>
    <mergeCell ref="B10:B12"/>
    <mergeCell ref="C10:H10"/>
    <mergeCell ref="I10:J10"/>
    <mergeCell ref="K10:K12"/>
    <mergeCell ref="L10:L12"/>
    <mergeCell ref="M10:M12"/>
    <mergeCell ref="D11:F11"/>
    <mergeCell ref="G11:G12"/>
    <mergeCell ref="H11:H12"/>
    <mergeCell ref="I11:I12"/>
    <mergeCell ref="J11:J12"/>
    <mergeCell ref="A17:Q17"/>
    <mergeCell ref="A23:E23"/>
    <mergeCell ref="A24:Q24"/>
    <mergeCell ref="A26:A31"/>
    <mergeCell ref="B26:B31"/>
    <mergeCell ref="C26:C31"/>
    <mergeCell ref="D26:D31"/>
    <mergeCell ref="E26:E31"/>
    <mergeCell ref="F26:F31"/>
    <mergeCell ref="R26:R31"/>
    <mergeCell ref="S26:S31"/>
    <mergeCell ref="I27:J29"/>
    <mergeCell ref="K27:L29"/>
    <mergeCell ref="M27:N29"/>
    <mergeCell ref="I30:I31"/>
    <mergeCell ref="A36:Q36"/>
    <mergeCell ref="G26:G31"/>
    <mergeCell ref="H26:H31"/>
    <mergeCell ref="I26:N26"/>
    <mergeCell ref="O26:O31"/>
    <mergeCell ref="P26:P31"/>
    <mergeCell ref="Q26:Q31"/>
    <mergeCell ref="J30:J31"/>
    <mergeCell ref="K30:K31"/>
    <mergeCell ref="L30:L31"/>
    <mergeCell ref="M30:M31"/>
    <mergeCell ref="N30:N31"/>
  </mergeCells>
  <pageMargins left="0" right="0" top="0" bottom="0" header="0.31496062992125984" footer="0.31496062992125984"/>
  <pageSetup paperSize="9" scale="4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6" workbookViewId="0">
      <selection activeCell="C28" sqref="C28:C33"/>
    </sheetView>
  </sheetViews>
  <sheetFormatPr defaultRowHeight="15" x14ac:dyDescent="0.25"/>
  <cols>
    <col min="2" max="2" width="32.7109375" customWidth="1"/>
    <col min="4" max="4" width="11.140625" customWidth="1"/>
    <col min="5" max="5" width="13" customWidth="1"/>
    <col min="6" max="6" width="11.140625" customWidth="1"/>
    <col min="8" max="8" width="10.7109375" customWidth="1"/>
  </cols>
  <sheetData>
    <row r="1" spans="1:17" s="89" customFormat="1" ht="18.75" x14ac:dyDescent="0.3">
      <c r="A1" s="94"/>
      <c r="B1" s="95"/>
      <c r="C1" s="96"/>
      <c r="D1" s="96"/>
      <c r="E1" s="94"/>
      <c r="F1" s="94"/>
      <c r="G1" s="96"/>
      <c r="H1" s="94"/>
      <c r="I1" s="345"/>
      <c r="J1" s="345"/>
      <c r="K1" s="345"/>
      <c r="L1" s="90"/>
      <c r="M1" s="97"/>
      <c r="N1" s="97" t="s">
        <v>0</v>
      </c>
      <c r="O1" s="97"/>
      <c r="P1" s="97"/>
      <c r="Q1" s="97"/>
    </row>
    <row r="2" spans="1:17" s="89" customFormat="1" ht="18.75" x14ac:dyDescent="0.3">
      <c r="A2" s="94"/>
      <c r="B2" s="95"/>
      <c r="C2" s="96"/>
      <c r="D2" s="96"/>
      <c r="E2" s="94"/>
      <c r="F2" s="94"/>
      <c r="G2" s="96"/>
      <c r="H2" s="94"/>
      <c r="I2" s="193"/>
      <c r="J2" s="193"/>
      <c r="K2" s="193"/>
      <c r="L2" s="90"/>
      <c r="M2" s="97"/>
      <c r="N2" s="97"/>
      <c r="O2" s="97"/>
      <c r="P2" s="97"/>
      <c r="Q2" s="98" t="s">
        <v>1</v>
      </c>
    </row>
    <row r="3" spans="1:17" s="89" customFormat="1" ht="18.75" x14ac:dyDescent="0.3">
      <c r="A3" s="94"/>
      <c r="B3" s="95"/>
      <c r="C3" s="96"/>
      <c r="D3" s="96"/>
      <c r="E3" s="94"/>
      <c r="F3" s="94"/>
      <c r="G3" s="96"/>
      <c r="H3" s="94"/>
      <c r="I3" s="193"/>
      <c r="J3" s="193"/>
      <c r="K3" s="193"/>
      <c r="L3" s="90"/>
      <c r="M3" s="97"/>
      <c r="N3" s="97"/>
      <c r="O3" s="97"/>
      <c r="P3" s="97"/>
      <c r="Q3" s="98" t="s">
        <v>2</v>
      </c>
    </row>
    <row r="4" spans="1:17" s="89" customFormat="1" ht="18.75" x14ac:dyDescent="0.3">
      <c r="A4" s="94"/>
      <c r="B4" s="95"/>
      <c r="C4" s="96"/>
      <c r="D4" s="96"/>
      <c r="E4" s="94"/>
      <c r="F4" s="94"/>
      <c r="G4" s="96"/>
      <c r="H4" s="94"/>
      <c r="I4" s="193"/>
      <c r="J4" s="193"/>
      <c r="K4" s="193"/>
      <c r="L4" s="90"/>
      <c r="M4" s="97"/>
      <c r="N4" s="97"/>
      <c r="O4" s="97"/>
      <c r="P4" s="97"/>
      <c r="Q4" s="98" t="s">
        <v>3</v>
      </c>
    </row>
    <row r="5" spans="1:17" s="89" customFormat="1" ht="18.75" x14ac:dyDescent="0.3">
      <c r="A5" s="94"/>
      <c r="B5" s="95"/>
      <c r="C5" s="96"/>
      <c r="D5" s="96"/>
      <c r="E5" s="94"/>
      <c r="F5" s="94"/>
      <c r="G5" s="96"/>
      <c r="H5" s="94"/>
      <c r="I5" s="193"/>
      <c r="J5" s="193"/>
      <c r="K5" s="193"/>
      <c r="L5" s="90"/>
      <c r="M5" s="97"/>
      <c r="N5" s="97"/>
      <c r="O5" s="97"/>
      <c r="P5" s="97"/>
      <c r="Q5" s="98" t="s">
        <v>4</v>
      </c>
    </row>
    <row r="6" spans="1:17" s="89" customFormat="1" ht="18.75" x14ac:dyDescent="0.3">
      <c r="A6" s="346" t="s">
        <v>5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</row>
    <row r="7" spans="1:17" s="89" customFormat="1" ht="18.75" x14ac:dyDescent="0.25">
      <c r="A7" s="347" t="s">
        <v>72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</row>
    <row r="8" spans="1:17" s="89" customFormat="1" ht="18.75" x14ac:dyDescent="0.3">
      <c r="A8" s="346" t="s">
        <v>6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</row>
    <row r="9" spans="1:17" s="89" customFormat="1" ht="16.5" thickBot="1" x14ac:dyDescent="0.3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7" s="89" customFormat="1" ht="36" customHeight="1" thickBot="1" x14ac:dyDescent="0.3">
      <c r="A10" s="348" t="s">
        <v>7</v>
      </c>
      <c r="B10" s="348" t="s">
        <v>8</v>
      </c>
      <c r="C10" s="351" t="s">
        <v>9</v>
      </c>
      <c r="D10" s="352"/>
      <c r="E10" s="352"/>
      <c r="F10" s="352"/>
      <c r="G10" s="353"/>
      <c r="H10" s="354"/>
      <c r="I10" s="351" t="s">
        <v>10</v>
      </c>
      <c r="J10" s="354"/>
      <c r="K10" s="348" t="s">
        <v>11</v>
      </c>
      <c r="L10" s="355" t="s">
        <v>12</v>
      </c>
      <c r="M10" s="355" t="s">
        <v>13</v>
      </c>
    </row>
    <row r="11" spans="1:17" s="89" customFormat="1" ht="63.75" thickBot="1" x14ac:dyDescent="0.3">
      <c r="A11" s="349"/>
      <c r="B11" s="349"/>
      <c r="C11" s="100" t="s">
        <v>14</v>
      </c>
      <c r="D11" s="360" t="s">
        <v>15</v>
      </c>
      <c r="E11" s="361"/>
      <c r="F11" s="362"/>
      <c r="G11" s="363" t="s">
        <v>16</v>
      </c>
      <c r="H11" s="348" t="s">
        <v>17</v>
      </c>
      <c r="I11" s="348" t="s">
        <v>18</v>
      </c>
      <c r="J11" s="348" t="s">
        <v>19</v>
      </c>
      <c r="K11" s="349"/>
      <c r="L11" s="356"/>
      <c r="M11" s="358"/>
    </row>
    <row r="12" spans="1:17" s="89" customFormat="1" ht="95.25" thickBot="1" x14ac:dyDescent="0.3">
      <c r="A12" s="350"/>
      <c r="B12" s="350"/>
      <c r="C12" s="101" t="s">
        <v>20</v>
      </c>
      <c r="D12" s="102" t="s">
        <v>21</v>
      </c>
      <c r="E12" s="103" t="s">
        <v>22</v>
      </c>
      <c r="F12" s="103" t="s">
        <v>23</v>
      </c>
      <c r="G12" s="364"/>
      <c r="H12" s="350"/>
      <c r="I12" s="350"/>
      <c r="J12" s="350"/>
      <c r="K12" s="350"/>
      <c r="L12" s="357"/>
      <c r="M12" s="359"/>
    </row>
    <row r="13" spans="1:17" s="89" customFormat="1" ht="15.75" x14ac:dyDescent="0.25">
      <c r="A13" s="23">
        <v>1</v>
      </c>
      <c r="B13" s="24">
        <v>2</v>
      </c>
      <c r="C13" s="25">
        <v>3</v>
      </c>
      <c r="D13" s="25">
        <v>4</v>
      </c>
      <c r="E13" s="26">
        <v>5</v>
      </c>
      <c r="F13" s="26">
        <v>6</v>
      </c>
      <c r="G13" s="25">
        <v>6</v>
      </c>
      <c r="H13" s="26">
        <v>7</v>
      </c>
      <c r="I13" s="26">
        <v>8</v>
      </c>
      <c r="J13" s="26">
        <v>9</v>
      </c>
      <c r="K13" s="26">
        <v>10</v>
      </c>
      <c r="L13" s="27">
        <v>11</v>
      </c>
      <c r="M13" s="28">
        <v>12</v>
      </c>
    </row>
    <row r="14" spans="1:17" s="89" customFormat="1" ht="32.25" thickBot="1" x14ac:dyDescent="0.3">
      <c r="A14" s="29">
        <v>1</v>
      </c>
      <c r="B14" s="204" t="s">
        <v>128</v>
      </c>
      <c r="C14" s="104">
        <f>I25</f>
        <v>798.56</v>
      </c>
      <c r="D14" s="104">
        <f>Q37</f>
        <v>1444.32137390559</v>
      </c>
      <c r="E14" s="104">
        <f>D14*0.9*12%</f>
        <v>155.98670838180374</v>
      </c>
      <c r="F14" s="104"/>
      <c r="G14" s="104">
        <f>L41</f>
        <v>1757.4085268292681</v>
      </c>
      <c r="H14" s="104">
        <v>2009</v>
      </c>
      <c r="I14" s="105">
        <f>Смета!E21</f>
        <v>0.10000021516836566</v>
      </c>
      <c r="J14" s="104">
        <f>D14*I14</f>
        <v>144.43244816282851</v>
      </c>
      <c r="K14" s="104">
        <f>H14+J14</f>
        <v>2153.4324481628287</v>
      </c>
      <c r="L14" s="106">
        <f>(K14*30%)</f>
        <v>646.02973444884856</v>
      </c>
      <c r="M14" s="34">
        <f>K14+L14</f>
        <v>2799.4621826116772</v>
      </c>
      <c r="N14" s="90"/>
      <c r="O14" s="90"/>
      <c r="P14" s="90"/>
      <c r="Q14" s="90"/>
    </row>
    <row r="15" spans="1:17" s="89" customFormat="1" x14ac:dyDescent="0.25">
      <c r="A15" s="107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90"/>
      <c r="M15" s="90"/>
      <c r="N15" s="90"/>
      <c r="O15" s="90"/>
      <c r="P15" s="90"/>
      <c r="Q15" s="90"/>
    </row>
    <row r="16" spans="1:17" s="89" customFormat="1" ht="18.75" x14ac:dyDescent="0.25">
      <c r="A16" s="318" t="s">
        <v>26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</row>
    <row r="17" spans="1:17" s="89" customFormat="1" ht="15.75" thickBot="1" x14ac:dyDescent="0.3">
      <c r="A17" s="38"/>
      <c r="B17" s="39"/>
      <c r="C17" s="40"/>
      <c r="D17" s="40"/>
      <c r="E17" s="41"/>
      <c r="F17" s="41"/>
      <c r="G17" s="40"/>
      <c r="H17" s="41"/>
      <c r="I17" s="42"/>
      <c r="J17" s="41"/>
      <c r="K17" s="41"/>
    </row>
    <row r="18" spans="1:17" s="89" customFormat="1" ht="77.25" thickBot="1" x14ac:dyDescent="0.3">
      <c r="A18" s="43" t="s">
        <v>7</v>
      </c>
      <c r="B18" s="44" t="s">
        <v>27</v>
      </c>
      <c r="C18" s="44" t="s">
        <v>28</v>
      </c>
      <c r="D18" s="44" t="s">
        <v>119</v>
      </c>
      <c r="E18" s="44" t="s">
        <v>120</v>
      </c>
      <c r="F18" s="44" t="s">
        <v>122</v>
      </c>
      <c r="G18" s="44" t="s">
        <v>123</v>
      </c>
      <c r="H18" s="44" t="s">
        <v>124</v>
      </c>
      <c r="I18" s="44" t="s">
        <v>125</v>
      </c>
      <c r="J18" s="196"/>
    </row>
    <row r="19" spans="1:17" s="207" customFormat="1" x14ac:dyDescent="0.25">
      <c r="A19" s="200">
        <v>1</v>
      </c>
      <c r="B19" s="209" t="s">
        <v>129</v>
      </c>
      <c r="C19" s="200">
        <v>1</v>
      </c>
      <c r="D19" s="200"/>
      <c r="E19" s="200">
        <v>22</v>
      </c>
      <c r="F19" s="203">
        <v>25.76</v>
      </c>
      <c r="G19" s="203">
        <f>E19*F19</f>
        <v>566.72</v>
      </c>
      <c r="H19" s="200"/>
      <c r="I19" s="205">
        <f>G19</f>
        <v>566.72</v>
      </c>
      <c r="J19" s="206"/>
    </row>
    <row r="20" spans="1:17" s="207" customFormat="1" x14ac:dyDescent="0.25">
      <c r="A20" s="138">
        <v>2</v>
      </c>
      <c r="B20" s="210" t="s">
        <v>130</v>
      </c>
      <c r="C20" s="138">
        <v>1</v>
      </c>
      <c r="D20" s="138"/>
      <c r="E20" s="138">
        <v>1.7</v>
      </c>
      <c r="F20" s="203">
        <v>25.76</v>
      </c>
      <c r="G20" s="203">
        <f>E20*F20</f>
        <v>43.792000000000002</v>
      </c>
      <c r="H20" s="138"/>
      <c r="I20" s="205">
        <f>G20</f>
        <v>43.792000000000002</v>
      </c>
      <c r="J20" s="206"/>
    </row>
    <row r="21" spans="1:17" s="207" customFormat="1" ht="25.5" x14ac:dyDescent="0.25">
      <c r="A21" s="138">
        <v>3</v>
      </c>
      <c r="B21" s="210" t="s">
        <v>133</v>
      </c>
      <c r="C21" s="138">
        <v>2</v>
      </c>
      <c r="D21" s="138"/>
      <c r="E21" s="138">
        <v>0.15</v>
      </c>
      <c r="F21" s="203">
        <v>25.76</v>
      </c>
      <c r="G21" s="203">
        <f>C21*E21*F21</f>
        <v>7.7279999999999998</v>
      </c>
      <c r="H21" s="138"/>
      <c r="I21" s="205">
        <f>G21</f>
        <v>7.7279999999999998</v>
      </c>
      <c r="J21" s="206"/>
    </row>
    <row r="22" spans="1:17" s="207" customFormat="1" x14ac:dyDescent="0.25">
      <c r="A22" s="138">
        <v>4</v>
      </c>
      <c r="B22" s="210" t="s">
        <v>131</v>
      </c>
      <c r="C22" s="138">
        <v>1</v>
      </c>
      <c r="D22" s="138"/>
      <c r="E22" s="138">
        <v>3</v>
      </c>
      <c r="F22" s="203">
        <v>25.76</v>
      </c>
      <c r="G22" s="203">
        <f>E22*F22</f>
        <v>77.28</v>
      </c>
      <c r="H22" s="138"/>
      <c r="I22" s="205">
        <f>G22</f>
        <v>77.28</v>
      </c>
      <c r="J22" s="206"/>
    </row>
    <row r="23" spans="1:17" s="207" customFormat="1" x14ac:dyDescent="0.25">
      <c r="A23" s="200">
        <v>5</v>
      </c>
      <c r="B23" s="209" t="s">
        <v>132</v>
      </c>
      <c r="C23" s="200">
        <v>1</v>
      </c>
      <c r="D23" s="200"/>
      <c r="E23" s="200">
        <v>1</v>
      </c>
      <c r="F23" s="203">
        <v>25.76</v>
      </c>
      <c r="G23" s="203">
        <f>E23*F23</f>
        <v>25.76</v>
      </c>
      <c r="H23" s="138"/>
      <c r="I23" s="205">
        <f>G23</f>
        <v>25.76</v>
      </c>
      <c r="J23" s="206"/>
    </row>
    <row r="24" spans="1:17" s="89" customFormat="1" ht="25.5" x14ac:dyDescent="0.25">
      <c r="A24" s="200">
        <v>6</v>
      </c>
      <c r="B24" s="199" t="s">
        <v>121</v>
      </c>
      <c r="C24" s="200">
        <v>1</v>
      </c>
      <c r="D24" s="201">
        <v>3</v>
      </c>
      <c r="E24" s="202">
        <v>1.5</v>
      </c>
      <c r="F24" s="203">
        <v>25.76</v>
      </c>
      <c r="G24" s="203">
        <f>E24*F24</f>
        <v>38.64</v>
      </c>
      <c r="H24" s="203">
        <f>G24/3</f>
        <v>12.88</v>
      </c>
      <c r="I24" s="208">
        <f>H24*6</f>
        <v>77.28</v>
      </c>
      <c r="J24" s="197"/>
    </row>
    <row r="25" spans="1:17" s="89" customFormat="1" x14ac:dyDescent="0.25">
      <c r="A25" s="391" t="s">
        <v>33</v>
      </c>
      <c r="B25" s="391"/>
      <c r="C25" s="391"/>
      <c r="D25" s="391"/>
      <c r="E25" s="391"/>
      <c r="F25" s="195"/>
      <c r="G25" s="211"/>
      <c r="H25" s="212"/>
      <c r="I25" s="213">
        <f>SUM(I19:I24)</f>
        <v>798.56</v>
      </c>
      <c r="J25" s="198"/>
    </row>
    <row r="26" spans="1:17" s="89" customFormat="1" ht="18.75" x14ac:dyDescent="0.25">
      <c r="A26" s="328" t="s">
        <v>37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</row>
    <row r="27" spans="1:17" s="89" customFormat="1" ht="19.5" thickBot="1" x14ac:dyDescent="0.3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 t="s">
        <v>38</v>
      </c>
    </row>
    <row r="28" spans="1:17" s="89" customFormat="1" ht="15.75" thickBot="1" x14ac:dyDescent="0.3">
      <c r="A28" s="319" t="s">
        <v>7</v>
      </c>
      <c r="B28" s="319" t="s">
        <v>39</v>
      </c>
      <c r="C28" s="337" t="s">
        <v>40</v>
      </c>
      <c r="D28" s="337" t="s">
        <v>41</v>
      </c>
      <c r="E28" s="337" t="s">
        <v>102</v>
      </c>
      <c r="F28" s="319" t="s">
        <v>43</v>
      </c>
      <c r="G28" s="390"/>
      <c r="H28" s="390"/>
      <c r="I28" s="390"/>
      <c r="J28" s="390"/>
      <c r="K28" s="50"/>
      <c r="L28" s="50"/>
      <c r="M28" s="315" t="s">
        <v>44</v>
      </c>
      <c r="N28" s="319" t="s">
        <v>45</v>
      </c>
      <c r="O28" s="319" t="s">
        <v>46</v>
      </c>
      <c r="P28" s="373" t="s">
        <v>47</v>
      </c>
      <c r="Q28" s="365" t="s">
        <v>48</v>
      </c>
    </row>
    <row r="29" spans="1:17" s="89" customFormat="1" x14ac:dyDescent="0.25">
      <c r="A29" s="320"/>
      <c r="B29" s="320"/>
      <c r="C29" s="338"/>
      <c r="D29" s="338"/>
      <c r="E29" s="338"/>
      <c r="F29" s="320"/>
      <c r="G29" s="373" t="s">
        <v>49</v>
      </c>
      <c r="H29" s="315"/>
      <c r="I29" s="373" t="s">
        <v>50</v>
      </c>
      <c r="J29" s="315"/>
      <c r="K29" s="382" t="s">
        <v>51</v>
      </c>
      <c r="L29" s="383"/>
      <c r="M29" s="316"/>
      <c r="N29" s="320"/>
      <c r="O29" s="320"/>
      <c r="P29" s="374"/>
      <c r="Q29" s="366"/>
    </row>
    <row r="30" spans="1:17" s="89" customFormat="1" x14ac:dyDescent="0.25">
      <c r="A30" s="320"/>
      <c r="B30" s="320"/>
      <c r="C30" s="338"/>
      <c r="D30" s="338"/>
      <c r="E30" s="338"/>
      <c r="F30" s="320"/>
      <c r="G30" s="378"/>
      <c r="H30" s="379"/>
      <c r="I30" s="378"/>
      <c r="J30" s="379"/>
      <c r="K30" s="384"/>
      <c r="L30" s="385"/>
      <c r="M30" s="316"/>
      <c r="N30" s="320"/>
      <c r="O30" s="320"/>
      <c r="P30" s="374"/>
      <c r="Q30" s="366"/>
    </row>
    <row r="31" spans="1:17" s="89" customFormat="1" ht="33" customHeight="1" thickBot="1" x14ac:dyDescent="0.3">
      <c r="A31" s="320"/>
      <c r="B31" s="320"/>
      <c r="C31" s="338"/>
      <c r="D31" s="338"/>
      <c r="E31" s="338"/>
      <c r="F31" s="320"/>
      <c r="G31" s="380"/>
      <c r="H31" s="381"/>
      <c r="I31" s="380"/>
      <c r="J31" s="381"/>
      <c r="K31" s="386"/>
      <c r="L31" s="387"/>
      <c r="M31" s="316"/>
      <c r="N31" s="320"/>
      <c r="O31" s="320"/>
      <c r="P31" s="374"/>
      <c r="Q31" s="366"/>
    </row>
    <row r="32" spans="1:17" s="89" customFormat="1" x14ac:dyDescent="0.25">
      <c r="A32" s="320"/>
      <c r="B32" s="320"/>
      <c r="C32" s="338"/>
      <c r="D32" s="338"/>
      <c r="E32" s="338"/>
      <c r="F32" s="320"/>
      <c r="G32" s="388" t="s">
        <v>52</v>
      </c>
      <c r="H32" s="343" t="s">
        <v>19</v>
      </c>
      <c r="I32" s="343" t="s">
        <v>52</v>
      </c>
      <c r="J32" s="333" t="s">
        <v>19</v>
      </c>
      <c r="K32" s="335" t="s">
        <v>52</v>
      </c>
      <c r="L32" s="335" t="s">
        <v>19</v>
      </c>
      <c r="M32" s="316"/>
      <c r="N32" s="320"/>
      <c r="O32" s="320"/>
      <c r="P32" s="374"/>
      <c r="Q32" s="366"/>
    </row>
    <row r="33" spans="1:17" s="89" customFormat="1" ht="15.75" thickBot="1" x14ac:dyDescent="0.3">
      <c r="A33" s="321"/>
      <c r="B33" s="321"/>
      <c r="C33" s="339"/>
      <c r="D33" s="339"/>
      <c r="E33" s="339"/>
      <c r="F33" s="321"/>
      <c r="G33" s="389"/>
      <c r="H33" s="344"/>
      <c r="I33" s="344"/>
      <c r="J33" s="334"/>
      <c r="K33" s="336"/>
      <c r="L33" s="336"/>
      <c r="M33" s="317"/>
      <c r="N33" s="321"/>
      <c r="O33" s="321"/>
      <c r="P33" s="375"/>
      <c r="Q33" s="367"/>
    </row>
    <row r="34" spans="1:17" s="89" customFormat="1" x14ac:dyDescent="0.25">
      <c r="A34" s="111">
        <v>1</v>
      </c>
      <c r="B34" s="112">
        <v>2</v>
      </c>
      <c r="C34" s="113">
        <v>3</v>
      </c>
      <c r="D34" s="113">
        <v>4</v>
      </c>
      <c r="E34" s="113">
        <v>5</v>
      </c>
      <c r="F34" s="113">
        <v>6</v>
      </c>
      <c r="G34" s="113">
        <v>8</v>
      </c>
      <c r="H34" s="113">
        <v>9</v>
      </c>
      <c r="I34" s="113">
        <v>10</v>
      </c>
      <c r="J34" s="113">
        <v>11</v>
      </c>
      <c r="K34" s="51">
        <v>12</v>
      </c>
      <c r="L34" s="51">
        <v>13</v>
      </c>
      <c r="M34" s="114">
        <v>14</v>
      </c>
      <c r="N34" s="114">
        <v>15</v>
      </c>
      <c r="O34" s="114">
        <v>16</v>
      </c>
      <c r="P34" s="113">
        <v>17</v>
      </c>
      <c r="Q34" s="115">
        <v>18</v>
      </c>
    </row>
    <row r="35" spans="1:17" s="89" customFormat="1" x14ac:dyDescent="0.25">
      <c r="A35" s="111">
        <v>1</v>
      </c>
      <c r="B35" s="116" t="s">
        <v>126</v>
      </c>
      <c r="C35" s="113" t="s">
        <v>127</v>
      </c>
      <c r="D35" s="113">
        <v>3.16</v>
      </c>
      <c r="E35" s="117">
        <v>17697</v>
      </c>
      <c r="F35" s="117">
        <f>D35*E35</f>
        <v>55922.520000000004</v>
      </c>
      <c r="G35" s="117">
        <v>23</v>
      </c>
      <c r="H35" s="180">
        <v>2035.1550000000002</v>
      </c>
      <c r="I35" s="117"/>
      <c r="J35" s="117"/>
      <c r="K35" s="117"/>
      <c r="L35" s="117"/>
      <c r="M35" s="117">
        <f>F35+H35</f>
        <v>57957.675000000003</v>
      </c>
      <c r="N35" s="117">
        <f>M35/163.33</f>
        <v>354.85015000306129</v>
      </c>
      <c r="O35" s="117">
        <f>N35/60</f>
        <v>5.9141691667176879</v>
      </c>
      <c r="P35" s="117">
        <v>60</v>
      </c>
      <c r="Q35" s="118">
        <f>O35*P35*2</f>
        <v>709.70030000612257</v>
      </c>
    </row>
    <row r="36" spans="1:17" s="89" customFormat="1" x14ac:dyDescent="0.25">
      <c r="A36" s="111">
        <v>3</v>
      </c>
      <c r="B36" s="116" t="s">
        <v>126</v>
      </c>
      <c r="C36" s="113" t="s">
        <v>127</v>
      </c>
      <c r="D36" s="113">
        <v>3.16</v>
      </c>
      <c r="E36" s="117">
        <v>17697</v>
      </c>
      <c r="F36" s="117">
        <f t="shared" ref="F36" si="0">D36*E36</f>
        <v>55922.520000000004</v>
      </c>
      <c r="G36" s="117">
        <v>23</v>
      </c>
      <c r="H36" s="117">
        <f>E36*G36/100</f>
        <v>4070.31</v>
      </c>
      <c r="I36" s="117"/>
      <c r="J36" s="117"/>
      <c r="K36" s="117"/>
      <c r="L36" s="117"/>
      <c r="M36" s="117">
        <f t="shared" ref="M36" si="1">F36+H36</f>
        <v>59992.83</v>
      </c>
      <c r="N36" s="117">
        <f t="shared" ref="N36" si="2">M36/163.33</f>
        <v>367.31053694973366</v>
      </c>
      <c r="O36" s="117">
        <f t="shared" ref="O36" si="3">N36/60</f>
        <v>6.1218422824955612</v>
      </c>
      <c r="P36" s="117">
        <v>60</v>
      </c>
      <c r="Q36" s="118">
        <f>O36*P36*2</f>
        <v>734.62107389946732</v>
      </c>
    </row>
    <row r="37" spans="1:17" s="89" customFormat="1" ht="15.75" thickBot="1" x14ac:dyDescent="0.3">
      <c r="A37" s="119"/>
      <c r="B37" s="120" t="s">
        <v>54</v>
      </c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3">
        <f>SUM(Q35:Q36)</f>
        <v>1444.32137390559</v>
      </c>
    </row>
    <row r="38" spans="1:17" s="89" customFormat="1" x14ac:dyDescent="0.25"/>
    <row r="39" spans="1:17" s="89" customFormat="1" ht="19.5" thickBot="1" x14ac:dyDescent="0.3">
      <c r="A39" s="322" t="s">
        <v>16</v>
      </c>
      <c r="B39" s="322"/>
      <c r="C39" s="322"/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</row>
    <row r="40" spans="1:17" s="89" customFormat="1" ht="77.25" thickBot="1" x14ac:dyDescent="0.3">
      <c r="A40" s="3" t="s">
        <v>7</v>
      </c>
      <c r="B40" s="4" t="s">
        <v>55</v>
      </c>
      <c r="C40" s="5" t="s">
        <v>56</v>
      </c>
      <c r="D40" s="6" t="s">
        <v>57</v>
      </c>
      <c r="E40" s="4" t="s">
        <v>58</v>
      </c>
      <c r="F40" s="7" t="s">
        <v>59</v>
      </c>
      <c r="G40" s="8" t="s">
        <v>60</v>
      </c>
      <c r="H40" s="4" t="s">
        <v>61</v>
      </c>
      <c r="I40" s="4" t="s">
        <v>62</v>
      </c>
      <c r="J40" s="9" t="s">
        <v>63</v>
      </c>
      <c r="K40" s="10" t="s">
        <v>64</v>
      </c>
      <c r="L40" s="11" t="s">
        <v>65</v>
      </c>
    </row>
    <row r="41" spans="1:17" s="89" customFormat="1" ht="38.25" x14ac:dyDescent="0.25">
      <c r="A41" s="124">
        <v>1</v>
      </c>
      <c r="B41" s="125" t="s">
        <v>134</v>
      </c>
      <c r="C41" s="91">
        <v>1</v>
      </c>
      <c r="D41" s="92">
        <v>2020</v>
      </c>
      <c r="E41" s="214">
        <v>57642999.68</v>
      </c>
      <c r="F41" s="93">
        <v>0</v>
      </c>
      <c r="G41" s="136">
        <v>0.1</v>
      </c>
      <c r="H41" s="93">
        <f>E41-F41</f>
        <v>57642999.68</v>
      </c>
      <c r="I41" s="93">
        <f>H41*G41/100</f>
        <v>57642.999680000001</v>
      </c>
      <c r="J41" s="93">
        <f>I41/1968</f>
        <v>29.290142113821137</v>
      </c>
      <c r="K41" s="93">
        <v>60</v>
      </c>
      <c r="L41" s="126">
        <f>J41*K41</f>
        <v>1757.4085268292681</v>
      </c>
    </row>
    <row r="42" spans="1:17" s="89" customFormat="1" x14ac:dyDescent="0.25">
      <c r="E42" s="141"/>
    </row>
    <row r="43" spans="1:17" s="89" customFormat="1" x14ac:dyDescent="0.25">
      <c r="E43" s="141"/>
    </row>
    <row r="44" spans="1:17" s="89" customFormat="1" ht="18.75" x14ac:dyDescent="0.3">
      <c r="B44" s="143" t="s">
        <v>67</v>
      </c>
      <c r="C44" s="143" t="s">
        <v>68</v>
      </c>
      <c r="D44" s="144"/>
      <c r="E44" s="142" t="s">
        <v>69</v>
      </c>
      <c r="F44" s="135"/>
      <c r="G44" s="133"/>
      <c r="H44" s="134"/>
      <c r="J44" s="127"/>
      <c r="K44" s="128"/>
    </row>
    <row r="45" spans="1:17" s="89" customFormat="1" ht="18.75" x14ac:dyDescent="0.3">
      <c r="B45" s="145"/>
      <c r="C45" s="143"/>
      <c r="D45" s="144"/>
      <c r="E45" s="142"/>
      <c r="F45" s="135"/>
      <c r="G45" s="133"/>
      <c r="H45" s="134"/>
      <c r="J45" s="127"/>
      <c r="K45" s="128"/>
    </row>
    <row r="46" spans="1:17" s="89" customFormat="1" ht="18.75" x14ac:dyDescent="0.3">
      <c r="B46" s="145" t="s">
        <v>70</v>
      </c>
      <c r="C46" s="143" t="s">
        <v>68</v>
      </c>
      <c r="D46" s="144"/>
      <c r="E46" s="135" t="s">
        <v>71</v>
      </c>
      <c r="F46" s="144"/>
      <c r="G46" s="133"/>
      <c r="H46" s="134"/>
      <c r="J46" s="127"/>
      <c r="K46" s="128"/>
    </row>
  </sheetData>
  <mergeCells count="41">
    <mergeCell ref="I1:K1"/>
    <mergeCell ref="A6:Q6"/>
    <mergeCell ref="A7:Q7"/>
    <mergeCell ref="A8:Q8"/>
    <mergeCell ref="A10:A12"/>
    <mergeCell ref="B10:B12"/>
    <mergeCell ref="C10:H10"/>
    <mergeCell ref="I10:J10"/>
    <mergeCell ref="K10:K12"/>
    <mergeCell ref="L10:L12"/>
    <mergeCell ref="M10:M12"/>
    <mergeCell ref="D11:F11"/>
    <mergeCell ref="G11:G12"/>
    <mergeCell ref="H11:H12"/>
    <mergeCell ref="I11:I12"/>
    <mergeCell ref="J11:J12"/>
    <mergeCell ref="A16:Q16"/>
    <mergeCell ref="A25:E25"/>
    <mergeCell ref="A26:Q26"/>
    <mergeCell ref="A28:A33"/>
    <mergeCell ref="B28:B33"/>
    <mergeCell ref="C28:C33"/>
    <mergeCell ref="D28:D33"/>
    <mergeCell ref="E28:E33"/>
    <mergeCell ref="F28:F33"/>
    <mergeCell ref="A39:Q39"/>
    <mergeCell ref="G28:J28"/>
    <mergeCell ref="M28:M33"/>
    <mergeCell ref="N28:N33"/>
    <mergeCell ref="O28:O33"/>
    <mergeCell ref="P28:P33"/>
    <mergeCell ref="Q28:Q33"/>
    <mergeCell ref="G29:H31"/>
    <mergeCell ref="I29:J31"/>
    <mergeCell ref="K29:L31"/>
    <mergeCell ref="G32:G33"/>
    <mergeCell ref="H32:H33"/>
    <mergeCell ref="I32:I33"/>
    <mergeCell ref="J32:J33"/>
    <mergeCell ref="K32:K33"/>
    <mergeCell ref="L32:L3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4" zoomScaleNormal="100" workbookViewId="0">
      <selection activeCell="M16" sqref="M16"/>
    </sheetView>
  </sheetViews>
  <sheetFormatPr defaultRowHeight="15" x14ac:dyDescent="0.25"/>
  <cols>
    <col min="1" max="1" width="9.140625" style="89"/>
    <col min="2" max="2" width="32.5703125" style="89" customWidth="1"/>
    <col min="3" max="3" width="12.5703125" style="89" customWidth="1"/>
    <col min="4" max="4" width="14.5703125" style="89" customWidth="1"/>
    <col min="5" max="5" width="16.28515625" style="89" bestFit="1" customWidth="1"/>
    <col min="6" max="6" width="14.140625" style="89" bestFit="1" customWidth="1"/>
    <col min="7" max="7" width="11.85546875" style="89" customWidth="1"/>
    <col min="8" max="8" width="12.42578125" style="89" customWidth="1"/>
    <col min="9" max="9" width="9.140625" style="89"/>
    <col min="10" max="10" width="14.7109375" style="89" bestFit="1" customWidth="1"/>
    <col min="11" max="11" width="9.140625" style="89" customWidth="1"/>
    <col min="12" max="12" width="10.42578125" style="89" customWidth="1"/>
    <col min="13" max="13" width="9.85546875" style="89" customWidth="1"/>
    <col min="14" max="14" width="10.5703125" style="89" customWidth="1"/>
    <col min="15" max="16384" width="9.140625" style="89"/>
  </cols>
  <sheetData>
    <row r="1" spans="1:14" ht="18.75" x14ac:dyDescent="0.3">
      <c r="A1" s="94"/>
      <c r="B1" s="95"/>
      <c r="C1" s="96"/>
      <c r="D1" s="96"/>
      <c r="E1" s="94"/>
      <c r="F1" s="94"/>
      <c r="G1" s="96"/>
      <c r="H1" s="392" t="s">
        <v>0</v>
      </c>
      <c r="I1" s="392"/>
      <c r="J1" s="392"/>
      <c r="K1" s="392"/>
      <c r="L1" s="392"/>
      <c r="M1" s="392"/>
      <c r="N1" s="392"/>
    </row>
    <row r="2" spans="1:14" ht="18.75" x14ac:dyDescent="0.3">
      <c r="A2" s="94"/>
      <c r="B2" s="95"/>
      <c r="C2" s="96"/>
      <c r="D2" s="96"/>
      <c r="E2" s="94"/>
      <c r="F2" s="94"/>
      <c r="G2" s="96"/>
      <c r="H2" s="392" t="s">
        <v>1</v>
      </c>
      <c r="I2" s="392"/>
      <c r="J2" s="392"/>
      <c r="K2" s="392"/>
      <c r="L2" s="392"/>
      <c r="M2" s="392"/>
      <c r="N2" s="392"/>
    </row>
    <row r="3" spans="1:14" ht="18.75" x14ac:dyDescent="0.3">
      <c r="A3" s="94"/>
      <c r="B3" s="95"/>
      <c r="C3" s="96"/>
      <c r="D3" s="96"/>
      <c r="E3" s="94"/>
      <c r="F3" s="94"/>
      <c r="G3" s="96"/>
      <c r="H3" s="392" t="s">
        <v>2</v>
      </c>
      <c r="I3" s="392"/>
      <c r="J3" s="392"/>
      <c r="K3" s="392"/>
      <c r="L3" s="392"/>
      <c r="M3" s="392"/>
      <c r="N3" s="392"/>
    </row>
    <row r="4" spans="1:14" ht="18.75" x14ac:dyDescent="0.3">
      <c r="A4" s="94"/>
      <c r="B4" s="95"/>
      <c r="C4" s="96"/>
      <c r="D4" s="96"/>
      <c r="E4" s="94"/>
      <c r="F4" s="94"/>
      <c r="G4" s="96"/>
      <c r="H4" s="392" t="s">
        <v>3</v>
      </c>
      <c r="I4" s="392"/>
      <c r="J4" s="392"/>
      <c r="K4" s="392"/>
      <c r="L4" s="392"/>
      <c r="M4" s="392"/>
      <c r="N4" s="392"/>
    </row>
    <row r="5" spans="1:14" ht="18.75" x14ac:dyDescent="0.3">
      <c r="A5" s="94"/>
      <c r="B5" s="95"/>
      <c r="C5" s="96"/>
      <c r="D5" s="96"/>
      <c r="E5" s="94"/>
      <c r="F5" s="94"/>
      <c r="G5" s="96"/>
      <c r="H5" s="392" t="s">
        <v>112</v>
      </c>
      <c r="I5" s="392"/>
      <c r="J5" s="392"/>
      <c r="K5" s="392"/>
      <c r="L5" s="392"/>
      <c r="M5" s="392"/>
      <c r="N5" s="392"/>
    </row>
    <row r="6" spans="1:14" ht="18.75" x14ac:dyDescent="0.3">
      <c r="A6" s="94"/>
      <c r="B6" s="95"/>
      <c r="C6" s="96"/>
      <c r="D6" s="96"/>
      <c r="E6" s="94"/>
      <c r="F6" s="94"/>
      <c r="G6" s="96"/>
      <c r="H6" s="94"/>
      <c r="I6" s="215"/>
      <c r="J6" s="215"/>
      <c r="K6" s="215"/>
      <c r="L6" s="90"/>
      <c r="M6" s="97"/>
      <c r="N6" s="97"/>
    </row>
    <row r="7" spans="1:14" ht="18.75" x14ac:dyDescent="0.3">
      <c r="A7" s="94"/>
      <c r="B7" s="95"/>
      <c r="C7" s="96"/>
      <c r="D7" s="96"/>
      <c r="E7" s="94"/>
      <c r="F7" s="94"/>
      <c r="G7" s="96"/>
      <c r="H7" s="94"/>
      <c r="I7" s="215"/>
      <c r="J7" s="215"/>
      <c r="K7" s="215"/>
      <c r="L7" s="90"/>
      <c r="M7" s="97"/>
      <c r="N7" s="97"/>
    </row>
    <row r="8" spans="1:14" ht="18.75" x14ac:dyDescent="0.3">
      <c r="A8" s="346" t="s">
        <v>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18.75" x14ac:dyDescent="0.25">
      <c r="A9" s="347" t="s">
        <v>72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</row>
    <row r="10" spans="1:14" ht="18.75" x14ac:dyDescent="0.3">
      <c r="A10" s="346" t="s">
        <v>6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ht="16.5" thickBot="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ht="16.5" customHeight="1" thickBot="1" x14ac:dyDescent="0.3">
      <c r="A12" s="348" t="s">
        <v>7</v>
      </c>
      <c r="B12" s="348" t="s">
        <v>8</v>
      </c>
      <c r="C12" s="351" t="s">
        <v>9</v>
      </c>
      <c r="D12" s="352"/>
      <c r="E12" s="352"/>
      <c r="F12" s="352"/>
      <c r="G12" s="353"/>
      <c r="H12" s="354"/>
      <c r="I12" s="351" t="s">
        <v>10</v>
      </c>
      <c r="J12" s="354"/>
      <c r="K12" s="348" t="s">
        <v>11</v>
      </c>
      <c r="L12" s="355" t="s">
        <v>189</v>
      </c>
      <c r="M12" s="355" t="s">
        <v>13</v>
      </c>
    </row>
    <row r="13" spans="1:14" ht="48" thickBot="1" x14ac:dyDescent="0.3">
      <c r="A13" s="349"/>
      <c r="B13" s="349"/>
      <c r="C13" s="100" t="s">
        <v>14</v>
      </c>
      <c r="D13" s="360" t="s">
        <v>15</v>
      </c>
      <c r="E13" s="361"/>
      <c r="F13" s="362"/>
      <c r="G13" s="363" t="s">
        <v>16</v>
      </c>
      <c r="H13" s="348" t="s">
        <v>17</v>
      </c>
      <c r="I13" s="348" t="s">
        <v>18</v>
      </c>
      <c r="J13" s="348" t="s">
        <v>19</v>
      </c>
      <c r="K13" s="349"/>
      <c r="L13" s="356"/>
      <c r="M13" s="358"/>
    </row>
    <row r="14" spans="1:14" ht="95.25" thickBot="1" x14ac:dyDescent="0.3">
      <c r="A14" s="350"/>
      <c r="B14" s="350"/>
      <c r="C14" s="101" t="s">
        <v>20</v>
      </c>
      <c r="D14" s="102" t="s">
        <v>21</v>
      </c>
      <c r="E14" s="103" t="s">
        <v>22</v>
      </c>
      <c r="F14" s="103" t="s">
        <v>23</v>
      </c>
      <c r="G14" s="364"/>
      <c r="H14" s="350"/>
      <c r="I14" s="350"/>
      <c r="J14" s="350"/>
      <c r="K14" s="350"/>
      <c r="L14" s="357"/>
      <c r="M14" s="359"/>
    </row>
    <row r="15" spans="1:14" ht="15.75" x14ac:dyDescent="0.25">
      <c r="A15" s="23">
        <v>1</v>
      </c>
      <c r="B15" s="24">
        <v>2</v>
      </c>
      <c r="C15" s="25">
        <v>3</v>
      </c>
      <c r="D15" s="25">
        <v>4</v>
      </c>
      <c r="E15" s="26">
        <v>5</v>
      </c>
      <c r="F15" s="26">
        <v>6</v>
      </c>
      <c r="G15" s="25">
        <v>6</v>
      </c>
      <c r="H15" s="26">
        <v>7</v>
      </c>
      <c r="I15" s="26">
        <v>8</v>
      </c>
      <c r="J15" s="26">
        <v>9</v>
      </c>
      <c r="K15" s="26">
        <v>10</v>
      </c>
      <c r="L15" s="27">
        <v>11</v>
      </c>
      <c r="M15" s="28">
        <v>12</v>
      </c>
    </row>
    <row r="16" spans="1:14" ht="49.5" customHeight="1" x14ac:dyDescent="0.25">
      <c r="A16" s="216">
        <v>1</v>
      </c>
      <c r="B16" s="218" t="s">
        <v>193</v>
      </c>
      <c r="C16" s="73">
        <v>0</v>
      </c>
      <c r="D16" s="73">
        <f>N31+N32+N33</f>
        <v>1591.5995359088959</v>
      </c>
      <c r="E16" s="73">
        <f>D16*11%</f>
        <v>175.07594894997854</v>
      </c>
      <c r="F16" s="73"/>
      <c r="G16" s="73">
        <f>L37</f>
        <v>155.39634146341461</v>
      </c>
      <c r="H16" s="73">
        <f>C16+D16+E16+G16</f>
        <v>1922.0718263222889</v>
      </c>
      <c r="I16" s="74">
        <f>Смета!$E$21</f>
        <v>0.10000021516836566</v>
      </c>
      <c r="J16" s="73">
        <f>D16*I16</f>
        <v>159.16029605276051</v>
      </c>
      <c r="K16" s="73">
        <f>H16+J16</f>
        <v>2081.2321223750496</v>
      </c>
      <c r="L16" s="75">
        <f>(K16*15%)</f>
        <v>312.18481835625744</v>
      </c>
      <c r="M16" s="217">
        <f>K16+L16</f>
        <v>2393.416940731307</v>
      </c>
      <c r="N16" s="90"/>
    </row>
    <row r="17" spans="1:14" x14ac:dyDescent="0.25">
      <c r="A17" s="107"/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90"/>
      <c r="M17" s="90"/>
      <c r="N17" s="90"/>
    </row>
    <row r="18" spans="1:14" ht="18.75" x14ac:dyDescent="0.25">
      <c r="A18" s="318" t="s">
        <v>26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</row>
    <row r="19" spans="1:14" ht="15.75" thickBot="1" x14ac:dyDescent="0.3">
      <c r="A19" s="38"/>
      <c r="B19" s="39"/>
      <c r="C19" s="40"/>
      <c r="D19" s="40"/>
      <c r="E19" s="41"/>
      <c r="F19" s="41"/>
      <c r="G19" s="40"/>
      <c r="H19" s="41"/>
      <c r="I19" s="42"/>
      <c r="J19" s="41"/>
      <c r="K19" s="41"/>
    </row>
    <row r="20" spans="1:14" ht="51.75" thickBot="1" x14ac:dyDescent="0.3">
      <c r="A20" s="43" t="s">
        <v>7</v>
      </c>
      <c r="B20" s="44" t="s">
        <v>27</v>
      </c>
      <c r="C20" s="44" t="s">
        <v>28</v>
      </c>
      <c r="D20" s="44" t="s">
        <v>29</v>
      </c>
      <c r="E20" s="45" t="s">
        <v>30</v>
      </c>
      <c r="F20" s="44" t="s">
        <v>31</v>
      </c>
    </row>
    <row r="21" spans="1:14" ht="15.75" thickBot="1" x14ac:dyDescent="0.3">
      <c r="A21" s="220"/>
      <c r="B21" s="221"/>
      <c r="C21" s="222"/>
      <c r="D21" s="223"/>
      <c r="E21" s="224"/>
      <c r="F21" s="225"/>
      <c r="G21" s="110"/>
    </row>
    <row r="22" spans="1:14" ht="18.75" x14ac:dyDescent="0.25">
      <c r="A22" s="328" t="s">
        <v>37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/>
    </row>
    <row r="23" spans="1:14" ht="19.5" thickBot="1" x14ac:dyDescent="0.3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 t="s">
        <v>38</v>
      </c>
    </row>
    <row r="24" spans="1:14" ht="15.75" customHeight="1" thickBot="1" x14ac:dyDescent="0.3">
      <c r="A24" s="319" t="s">
        <v>7</v>
      </c>
      <c r="B24" s="319" t="s">
        <v>39</v>
      </c>
      <c r="C24" s="337" t="s">
        <v>40</v>
      </c>
      <c r="D24" s="337" t="s">
        <v>41</v>
      </c>
      <c r="E24" s="337" t="s">
        <v>102</v>
      </c>
      <c r="F24" s="319" t="s">
        <v>43</v>
      </c>
      <c r="G24" s="340" t="s">
        <v>188</v>
      </c>
      <c r="H24" s="341"/>
      <c r="I24" s="342"/>
      <c r="J24" s="315" t="s">
        <v>44</v>
      </c>
      <c r="K24" s="319" t="s">
        <v>45</v>
      </c>
      <c r="L24" s="319" t="s">
        <v>46</v>
      </c>
      <c r="M24" s="319" t="s">
        <v>47</v>
      </c>
      <c r="N24" s="319" t="s">
        <v>48</v>
      </c>
    </row>
    <row r="25" spans="1:14" ht="15" customHeight="1" x14ac:dyDescent="0.25">
      <c r="A25" s="320"/>
      <c r="B25" s="320"/>
      <c r="C25" s="338"/>
      <c r="D25" s="338"/>
      <c r="E25" s="338"/>
      <c r="F25" s="320"/>
      <c r="G25" s="315" t="s">
        <v>49</v>
      </c>
      <c r="H25" s="315" t="s">
        <v>50</v>
      </c>
      <c r="I25" s="332" t="s">
        <v>187</v>
      </c>
      <c r="J25" s="316"/>
      <c r="K25" s="320"/>
      <c r="L25" s="320"/>
      <c r="M25" s="320"/>
      <c r="N25" s="320"/>
    </row>
    <row r="26" spans="1:14" x14ac:dyDescent="0.25">
      <c r="A26" s="320"/>
      <c r="B26" s="320"/>
      <c r="C26" s="338"/>
      <c r="D26" s="338"/>
      <c r="E26" s="338"/>
      <c r="F26" s="320"/>
      <c r="G26" s="316"/>
      <c r="H26" s="316"/>
      <c r="I26" s="320"/>
      <c r="J26" s="316"/>
      <c r="K26" s="320"/>
      <c r="L26" s="320"/>
      <c r="M26" s="320"/>
      <c r="N26" s="320"/>
    </row>
    <row r="27" spans="1:14" ht="15.75" thickBot="1" x14ac:dyDescent="0.3">
      <c r="A27" s="320"/>
      <c r="B27" s="320"/>
      <c r="C27" s="338"/>
      <c r="D27" s="338"/>
      <c r="E27" s="338"/>
      <c r="F27" s="320"/>
      <c r="G27" s="317"/>
      <c r="H27" s="317"/>
      <c r="I27" s="321"/>
      <c r="J27" s="316"/>
      <c r="K27" s="320"/>
      <c r="L27" s="320"/>
      <c r="M27" s="320"/>
      <c r="N27" s="320"/>
    </row>
    <row r="28" spans="1:14" x14ac:dyDescent="0.25">
      <c r="A28" s="320"/>
      <c r="B28" s="320"/>
      <c r="C28" s="338"/>
      <c r="D28" s="338"/>
      <c r="E28" s="338"/>
      <c r="F28" s="320"/>
      <c r="G28" s="343" t="s">
        <v>19</v>
      </c>
      <c r="H28" s="333" t="s">
        <v>19</v>
      </c>
      <c r="I28" s="335" t="s">
        <v>19</v>
      </c>
      <c r="J28" s="316"/>
      <c r="K28" s="320"/>
      <c r="L28" s="320"/>
      <c r="M28" s="320"/>
      <c r="N28" s="320"/>
    </row>
    <row r="29" spans="1:14" ht="15.75" thickBot="1" x14ac:dyDescent="0.3">
      <c r="A29" s="321"/>
      <c r="B29" s="321"/>
      <c r="C29" s="339"/>
      <c r="D29" s="339"/>
      <c r="E29" s="339"/>
      <c r="F29" s="321"/>
      <c r="G29" s="344"/>
      <c r="H29" s="334"/>
      <c r="I29" s="336"/>
      <c r="J29" s="317"/>
      <c r="K29" s="321"/>
      <c r="L29" s="321"/>
      <c r="M29" s="321"/>
      <c r="N29" s="321"/>
    </row>
    <row r="30" spans="1:14" ht="13.5" customHeight="1" x14ac:dyDescent="0.25">
      <c r="A30" s="111">
        <v>1</v>
      </c>
      <c r="B30" s="112">
        <v>2</v>
      </c>
      <c r="C30" s="113">
        <v>3</v>
      </c>
      <c r="D30" s="113">
        <v>4</v>
      </c>
      <c r="E30" s="113">
        <v>5</v>
      </c>
      <c r="F30" s="113">
        <v>6</v>
      </c>
      <c r="G30" s="113">
        <v>9</v>
      </c>
      <c r="H30" s="113">
        <v>11</v>
      </c>
      <c r="I30" s="51">
        <v>13</v>
      </c>
      <c r="J30" s="114">
        <v>14</v>
      </c>
      <c r="K30" s="114">
        <v>15</v>
      </c>
      <c r="L30" s="114">
        <v>16</v>
      </c>
      <c r="M30" s="113">
        <v>17</v>
      </c>
      <c r="N30" s="115">
        <v>18</v>
      </c>
    </row>
    <row r="31" spans="1:14" x14ac:dyDescent="0.25">
      <c r="A31" s="229">
        <v>1</v>
      </c>
      <c r="B31" s="230" t="s">
        <v>196</v>
      </c>
      <c r="C31" s="229" t="s">
        <v>103</v>
      </c>
      <c r="D31" s="229">
        <v>4.3499999999999996</v>
      </c>
      <c r="E31" s="117">
        <v>17697</v>
      </c>
      <c r="F31" s="117">
        <f>D31*E31*2.02</f>
        <v>155503.53899999999</v>
      </c>
      <c r="G31" s="231"/>
      <c r="H31" s="117">
        <f>E31*80%</f>
        <v>14157.6</v>
      </c>
      <c r="I31" s="117">
        <f>F31*10%</f>
        <v>15550.3539</v>
      </c>
      <c r="J31" s="117">
        <f t="shared" ref="J31" si="0">F31+G31+H31+I31</f>
        <v>185211.49289999998</v>
      </c>
      <c r="K31" s="117">
        <f>J31/163.33</f>
        <v>1133.971057980775</v>
      </c>
      <c r="L31" s="117">
        <f>K31/60</f>
        <v>18.899517633012916</v>
      </c>
      <c r="M31" s="117">
        <v>40</v>
      </c>
      <c r="N31" s="219">
        <f>L31*M31</f>
        <v>755.98070532051668</v>
      </c>
    </row>
    <row r="32" spans="1:14" s="226" customFormat="1" x14ac:dyDescent="0.25">
      <c r="A32" s="229">
        <v>2</v>
      </c>
      <c r="B32" s="230" t="s">
        <v>53</v>
      </c>
      <c r="C32" s="229" t="s">
        <v>106</v>
      </c>
      <c r="D32" s="229">
        <v>4.4000000000000004</v>
      </c>
      <c r="E32" s="117">
        <v>17697</v>
      </c>
      <c r="F32" s="117">
        <f>D32*E32*1.63</f>
        <v>126922.88399999999</v>
      </c>
      <c r="G32" s="231"/>
      <c r="H32" s="117">
        <f>E32*50%</f>
        <v>8848.5</v>
      </c>
      <c r="I32" s="117">
        <f>F32*10%</f>
        <v>12692.288399999999</v>
      </c>
      <c r="J32" s="117">
        <f>F32+G32+H32+I32</f>
        <v>148463.67239999998</v>
      </c>
      <c r="K32" s="117">
        <f>J32/163.33</f>
        <v>908.97981020020802</v>
      </c>
      <c r="L32" s="117">
        <f>K32/60</f>
        <v>15.1496635033368</v>
      </c>
      <c r="M32" s="117">
        <v>40</v>
      </c>
      <c r="N32" s="219">
        <f>L32*M32</f>
        <v>605.98654013347198</v>
      </c>
    </row>
    <row r="33" spans="1:14" ht="15.75" thickBot="1" x14ac:dyDescent="0.3">
      <c r="A33" s="234">
        <v>3</v>
      </c>
      <c r="B33" s="235" t="s">
        <v>186</v>
      </c>
      <c r="C33" s="234" t="s">
        <v>103</v>
      </c>
      <c r="D33" s="234">
        <v>2.89</v>
      </c>
      <c r="E33" s="236">
        <v>17697</v>
      </c>
      <c r="F33" s="236">
        <f t="shared" ref="F33" si="1">D33*E33</f>
        <v>51144.33</v>
      </c>
      <c r="G33" s="237"/>
      <c r="H33" s="236"/>
      <c r="I33" s="236">
        <f t="shared" ref="I33" si="2">F33*10%</f>
        <v>5114.4330000000009</v>
      </c>
      <c r="J33" s="236">
        <f t="shared" ref="J33" si="3">F33+G33+H33+I33</f>
        <v>56258.763000000006</v>
      </c>
      <c r="K33" s="236">
        <f t="shared" ref="K33" si="4">J33/163.33</f>
        <v>344.44843568236087</v>
      </c>
      <c r="L33" s="236">
        <f t="shared" ref="L33" si="5">K33/60</f>
        <v>5.740807261372681</v>
      </c>
      <c r="M33" s="236">
        <v>40</v>
      </c>
      <c r="N33" s="238">
        <f t="shared" ref="N33" si="6">L33*M33</f>
        <v>229.63229045490723</v>
      </c>
    </row>
    <row r="34" spans="1:14" ht="15.75" thickBot="1" x14ac:dyDescent="0.3">
      <c r="A34" s="329" t="s">
        <v>194</v>
      </c>
      <c r="B34" s="330"/>
      <c r="C34" s="330"/>
      <c r="D34" s="330"/>
      <c r="E34" s="331"/>
      <c r="F34" s="239"/>
      <c r="G34" s="239"/>
      <c r="H34" s="239"/>
      <c r="I34" s="239"/>
      <c r="J34" s="239"/>
      <c r="K34" s="239"/>
      <c r="L34" s="239"/>
      <c r="M34" s="239"/>
      <c r="N34" s="241">
        <f>SUM(N31:N33)</f>
        <v>1591.5995359088959</v>
      </c>
    </row>
    <row r="35" spans="1:14" ht="19.5" thickBot="1" x14ac:dyDescent="0.3">
      <c r="A35" s="322" t="s">
        <v>16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</row>
    <row r="36" spans="1:14" ht="77.25" thickBot="1" x14ac:dyDescent="0.3">
      <c r="A36" s="3" t="s">
        <v>7</v>
      </c>
      <c r="B36" s="4" t="s">
        <v>55</v>
      </c>
      <c r="C36" s="5" t="s">
        <v>56</v>
      </c>
      <c r="D36" s="6" t="s">
        <v>57</v>
      </c>
      <c r="E36" s="4" t="s">
        <v>58</v>
      </c>
      <c r="F36" s="7" t="s">
        <v>59</v>
      </c>
      <c r="G36" s="8" t="s">
        <v>60</v>
      </c>
      <c r="H36" s="4" t="s">
        <v>61</v>
      </c>
      <c r="I36" s="4" t="s">
        <v>62</v>
      </c>
      <c r="J36" s="9" t="s">
        <v>63</v>
      </c>
      <c r="K36" s="10" t="s">
        <v>64</v>
      </c>
      <c r="L36" s="11" t="s">
        <v>65</v>
      </c>
    </row>
    <row r="37" spans="1:14" x14ac:dyDescent="0.25">
      <c r="A37" s="124"/>
      <c r="B37" s="242" t="s">
        <v>195</v>
      </c>
      <c r="C37" s="91">
        <v>1</v>
      </c>
      <c r="D37" s="92">
        <v>2017</v>
      </c>
      <c r="E37" s="93">
        <v>8495000</v>
      </c>
      <c r="F37" s="93">
        <f>E37*40%</f>
        <v>3398000</v>
      </c>
      <c r="G37" s="136">
        <v>0.1</v>
      </c>
      <c r="H37" s="93">
        <f>E37-F37</f>
        <v>5097000</v>
      </c>
      <c r="I37" s="93">
        <f>H37*G37/100</f>
        <v>5097</v>
      </c>
      <c r="J37" s="93">
        <f>I37/1968</f>
        <v>2.5899390243902438</v>
      </c>
      <c r="K37" s="93">
        <v>60</v>
      </c>
      <c r="L37" s="126">
        <f>J37*K37</f>
        <v>155.39634146341461</v>
      </c>
    </row>
    <row r="38" spans="1:14" x14ac:dyDescent="0.25">
      <c r="E38" s="141"/>
    </row>
    <row r="39" spans="1:14" ht="18.75" x14ac:dyDescent="0.3">
      <c r="B39" s="130"/>
      <c r="C39" s="131"/>
      <c r="D39" s="132"/>
      <c r="E39" s="141"/>
      <c r="G39" s="133"/>
      <c r="H39" s="134"/>
      <c r="J39" s="127"/>
      <c r="K39" s="128"/>
    </row>
    <row r="40" spans="1:14" ht="18.75" x14ac:dyDescent="0.3">
      <c r="B40" s="143" t="s">
        <v>67</v>
      </c>
      <c r="C40" s="143" t="s">
        <v>68</v>
      </c>
      <c r="D40" s="144"/>
      <c r="E40" s="142" t="s">
        <v>69</v>
      </c>
      <c r="F40" s="135"/>
      <c r="G40" s="133"/>
      <c r="H40" s="134"/>
      <c r="J40" s="127"/>
      <c r="K40" s="128"/>
    </row>
    <row r="41" spans="1:14" ht="18.75" x14ac:dyDescent="0.3">
      <c r="B41" s="145"/>
      <c r="C41" s="143"/>
      <c r="D41" s="144"/>
      <c r="E41" s="142"/>
      <c r="F41" s="135"/>
      <c r="G41" s="133"/>
      <c r="H41" s="134"/>
      <c r="J41" s="127"/>
      <c r="K41" s="128"/>
    </row>
    <row r="42" spans="1:14" ht="18.75" x14ac:dyDescent="0.3">
      <c r="B42" s="145" t="s">
        <v>70</v>
      </c>
      <c r="C42" s="143" t="s">
        <v>68</v>
      </c>
      <c r="D42" s="144"/>
      <c r="E42" s="135" t="s">
        <v>71</v>
      </c>
      <c r="F42" s="144"/>
      <c r="G42" s="133"/>
      <c r="H42" s="134"/>
      <c r="J42" s="127"/>
      <c r="K42" s="128"/>
    </row>
    <row r="43" spans="1:14" ht="15.75" x14ac:dyDescent="0.25">
      <c r="B43" s="145"/>
      <c r="C43" s="135"/>
      <c r="D43" s="135"/>
      <c r="E43" s="135"/>
      <c r="F43" s="135"/>
    </row>
    <row r="44" spans="1:14" ht="15.75" x14ac:dyDescent="0.25">
      <c r="B44" s="135"/>
      <c r="C44" s="143"/>
      <c r="D44" s="135"/>
      <c r="E44" s="135"/>
      <c r="F44" s="135"/>
    </row>
    <row r="45" spans="1:14" ht="15.75" x14ac:dyDescent="0.25">
      <c r="B45" s="135"/>
      <c r="C45" s="129"/>
      <c r="D45" s="129"/>
      <c r="E45" s="129"/>
    </row>
  </sheetData>
  <mergeCells count="42">
    <mergeCell ref="A35:N35"/>
    <mergeCell ref="J24:J29"/>
    <mergeCell ref="K24:K29"/>
    <mergeCell ref="L24:L29"/>
    <mergeCell ref="M24:M29"/>
    <mergeCell ref="N24:N29"/>
    <mergeCell ref="G28:G29"/>
    <mergeCell ref="H28:H29"/>
    <mergeCell ref="I28:I29"/>
    <mergeCell ref="A34:E34"/>
    <mergeCell ref="A18:N18"/>
    <mergeCell ref="A22:N22"/>
    <mergeCell ref="A24:A29"/>
    <mergeCell ref="B24:B29"/>
    <mergeCell ref="C24:C29"/>
    <mergeCell ref="D24:D29"/>
    <mergeCell ref="E24:E29"/>
    <mergeCell ref="F24:F29"/>
    <mergeCell ref="I25:I27"/>
    <mergeCell ref="G25:G27"/>
    <mergeCell ref="H25:H27"/>
    <mergeCell ref="G24:I24"/>
    <mergeCell ref="A8:N8"/>
    <mergeCell ref="A9:N9"/>
    <mergeCell ref="A10:N10"/>
    <mergeCell ref="A12:A14"/>
    <mergeCell ref="B12:B14"/>
    <mergeCell ref="C12:H12"/>
    <mergeCell ref="I12:J12"/>
    <mergeCell ref="K12:K14"/>
    <mergeCell ref="L12:L14"/>
    <mergeCell ref="M12:M14"/>
    <mergeCell ref="D13:F13"/>
    <mergeCell ref="G13:G14"/>
    <mergeCell ref="H13:H14"/>
    <mergeCell ref="I13:I14"/>
    <mergeCell ref="J13:J14"/>
    <mergeCell ref="H1:N1"/>
    <mergeCell ref="H2:N2"/>
    <mergeCell ref="H3:N3"/>
    <mergeCell ref="H4:N4"/>
    <mergeCell ref="H5:N5"/>
  </mergeCells>
  <pageMargins left="0" right="0" top="0" bottom="0" header="0.31496062992125984" footer="0.31496062992125984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view="pageBreakPreview" zoomScale="60" zoomScaleNormal="100" workbookViewId="0">
      <selection activeCell="L16" sqref="L16"/>
    </sheetView>
  </sheetViews>
  <sheetFormatPr defaultRowHeight="15" x14ac:dyDescent="0.25"/>
  <cols>
    <col min="1" max="1" width="9.140625" style="89"/>
    <col min="2" max="2" width="32.5703125" style="89" customWidth="1"/>
    <col min="3" max="3" width="12.5703125" style="89" customWidth="1"/>
    <col min="4" max="4" width="14.5703125" style="89" customWidth="1"/>
    <col min="5" max="5" width="16.28515625" style="89" bestFit="1" customWidth="1"/>
    <col min="6" max="6" width="14.140625" style="89" bestFit="1" customWidth="1"/>
    <col min="7" max="7" width="11.85546875" style="89" customWidth="1"/>
    <col min="8" max="8" width="12.42578125" style="89" customWidth="1"/>
    <col min="9" max="9" width="9.140625" style="89"/>
    <col min="10" max="10" width="14.7109375" style="89" bestFit="1" customWidth="1"/>
    <col min="11" max="11" width="9.140625" style="89" customWidth="1"/>
    <col min="12" max="12" width="10.42578125" style="89" customWidth="1"/>
    <col min="13" max="13" width="9.85546875" style="89" customWidth="1"/>
    <col min="14" max="14" width="10.5703125" style="89" customWidth="1"/>
    <col min="15" max="16384" width="9.140625" style="89"/>
  </cols>
  <sheetData>
    <row r="1" spans="1:14" ht="18.75" x14ac:dyDescent="0.3">
      <c r="A1" s="94"/>
      <c r="B1" s="95"/>
      <c r="C1" s="96"/>
      <c r="D1" s="96"/>
      <c r="E1" s="94"/>
      <c r="F1" s="94"/>
      <c r="G1" s="96"/>
      <c r="H1" s="392" t="s">
        <v>0</v>
      </c>
      <c r="I1" s="392"/>
      <c r="J1" s="392"/>
      <c r="K1" s="392"/>
      <c r="L1" s="392"/>
      <c r="M1" s="392"/>
      <c r="N1" s="392"/>
    </row>
    <row r="2" spans="1:14" ht="18.75" x14ac:dyDescent="0.3">
      <c r="A2" s="94"/>
      <c r="B2" s="95"/>
      <c r="C2" s="96"/>
      <c r="D2" s="96"/>
      <c r="E2" s="94"/>
      <c r="F2" s="94"/>
      <c r="G2" s="96"/>
      <c r="H2" s="392" t="s">
        <v>1</v>
      </c>
      <c r="I2" s="392"/>
      <c r="J2" s="392"/>
      <c r="K2" s="392"/>
      <c r="L2" s="392"/>
      <c r="M2" s="392"/>
      <c r="N2" s="392"/>
    </row>
    <row r="3" spans="1:14" ht="18.75" x14ac:dyDescent="0.3">
      <c r="A3" s="94"/>
      <c r="B3" s="95"/>
      <c r="C3" s="96"/>
      <c r="D3" s="96"/>
      <c r="E3" s="94"/>
      <c r="F3" s="94"/>
      <c r="G3" s="96"/>
      <c r="H3" s="392" t="s">
        <v>2</v>
      </c>
      <c r="I3" s="392"/>
      <c r="J3" s="392"/>
      <c r="K3" s="392"/>
      <c r="L3" s="392"/>
      <c r="M3" s="392"/>
      <c r="N3" s="392"/>
    </row>
    <row r="4" spans="1:14" ht="18.75" x14ac:dyDescent="0.3">
      <c r="A4" s="94"/>
      <c r="B4" s="95"/>
      <c r="C4" s="96"/>
      <c r="D4" s="96"/>
      <c r="E4" s="94"/>
      <c r="F4" s="94"/>
      <c r="G4" s="96"/>
      <c r="H4" s="392" t="s">
        <v>3</v>
      </c>
      <c r="I4" s="392"/>
      <c r="J4" s="392"/>
      <c r="K4" s="392"/>
      <c r="L4" s="392"/>
      <c r="M4" s="392"/>
      <c r="N4" s="392"/>
    </row>
    <row r="5" spans="1:14" ht="18.75" x14ac:dyDescent="0.3">
      <c r="A5" s="94"/>
      <c r="B5" s="95"/>
      <c r="C5" s="96"/>
      <c r="D5" s="96"/>
      <c r="E5" s="94"/>
      <c r="F5" s="94"/>
      <c r="G5" s="96"/>
      <c r="H5" s="392" t="s">
        <v>112</v>
      </c>
      <c r="I5" s="392"/>
      <c r="J5" s="392"/>
      <c r="K5" s="392"/>
      <c r="L5" s="392"/>
      <c r="M5" s="392"/>
      <c r="N5" s="392"/>
    </row>
    <row r="6" spans="1:14" ht="18.75" x14ac:dyDescent="0.3">
      <c r="A6" s="94"/>
      <c r="B6" s="95"/>
      <c r="C6" s="96"/>
      <c r="D6" s="96"/>
      <c r="E6" s="94"/>
      <c r="F6" s="94"/>
      <c r="G6" s="96"/>
      <c r="H6" s="94"/>
      <c r="I6" s="227"/>
      <c r="J6" s="227"/>
      <c r="K6" s="227"/>
      <c r="L6" s="90"/>
      <c r="M6" s="97"/>
      <c r="N6" s="97"/>
    </row>
    <row r="7" spans="1:14" ht="18.75" x14ac:dyDescent="0.3">
      <c r="A7" s="94"/>
      <c r="B7" s="95"/>
      <c r="C7" s="96"/>
      <c r="D7" s="96"/>
      <c r="E7" s="94"/>
      <c r="F7" s="94"/>
      <c r="G7" s="96"/>
      <c r="H7" s="94"/>
      <c r="I7" s="227"/>
      <c r="J7" s="227"/>
      <c r="K7" s="227"/>
      <c r="L7" s="90"/>
      <c r="M7" s="97"/>
      <c r="N7" s="97"/>
    </row>
    <row r="8" spans="1:14" ht="18.75" x14ac:dyDescent="0.3">
      <c r="A8" s="346" t="s">
        <v>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18.75" x14ac:dyDescent="0.25">
      <c r="A9" s="347" t="s">
        <v>72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</row>
    <row r="10" spans="1:14" ht="18.75" x14ac:dyDescent="0.3">
      <c r="A10" s="346" t="s">
        <v>6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ht="16.5" thickBot="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ht="16.5" customHeight="1" thickBot="1" x14ac:dyDescent="0.3">
      <c r="A12" s="348" t="s">
        <v>7</v>
      </c>
      <c r="B12" s="348" t="s">
        <v>8</v>
      </c>
      <c r="C12" s="351" t="s">
        <v>9</v>
      </c>
      <c r="D12" s="352"/>
      <c r="E12" s="352"/>
      <c r="F12" s="352"/>
      <c r="G12" s="353"/>
      <c r="H12" s="354"/>
      <c r="I12" s="351" t="s">
        <v>10</v>
      </c>
      <c r="J12" s="354"/>
      <c r="K12" s="348" t="s">
        <v>11</v>
      </c>
      <c r="L12" s="355" t="s">
        <v>189</v>
      </c>
      <c r="M12" s="355" t="s">
        <v>13</v>
      </c>
    </row>
    <row r="13" spans="1:14" ht="48" thickBot="1" x14ac:dyDescent="0.3">
      <c r="A13" s="349"/>
      <c r="B13" s="349"/>
      <c r="C13" s="100" t="s">
        <v>14</v>
      </c>
      <c r="D13" s="360" t="s">
        <v>15</v>
      </c>
      <c r="E13" s="361"/>
      <c r="F13" s="362"/>
      <c r="G13" s="363" t="s">
        <v>16</v>
      </c>
      <c r="H13" s="348" t="s">
        <v>17</v>
      </c>
      <c r="I13" s="348" t="s">
        <v>18</v>
      </c>
      <c r="J13" s="348" t="s">
        <v>19</v>
      </c>
      <c r="K13" s="349"/>
      <c r="L13" s="356"/>
      <c r="M13" s="358"/>
    </row>
    <row r="14" spans="1:14" ht="95.25" thickBot="1" x14ac:dyDescent="0.3">
      <c r="A14" s="350"/>
      <c r="B14" s="350"/>
      <c r="C14" s="101" t="s">
        <v>20</v>
      </c>
      <c r="D14" s="102" t="s">
        <v>21</v>
      </c>
      <c r="E14" s="103" t="s">
        <v>22</v>
      </c>
      <c r="F14" s="103" t="s">
        <v>23</v>
      </c>
      <c r="G14" s="364"/>
      <c r="H14" s="350"/>
      <c r="I14" s="350"/>
      <c r="J14" s="350"/>
      <c r="K14" s="350"/>
      <c r="L14" s="357"/>
      <c r="M14" s="359"/>
    </row>
    <row r="15" spans="1:14" ht="15.75" x14ac:dyDescent="0.25">
      <c r="A15" s="23">
        <v>1</v>
      </c>
      <c r="B15" s="24">
        <v>2</v>
      </c>
      <c r="C15" s="25">
        <v>3</v>
      </c>
      <c r="D15" s="25">
        <v>4</v>
      </c>
      <c r="E15" s="26">
        <v>5</v>
      </c>
      <c r="F15" s="26">
        <v>6</v>
      </c>
      <c r="G15" s="25">
        <v>6</v>
      </c>
      <c r="H15" s="26">
        <v>7</v>
      </c>
      <c r="I15" s="26">
        <v>8</v>
      </c>
      <c r="J15" s="26">
        <v>9</v>
      </c>
      <c r="K15" s="26">
        <v>10</v>
      </c>
      <c r="L15" s="27">
        <v>11</v>
      </c>
      <c r="M15" s="28">
        <v>12</v>
      </c>
    </row>
    <row r="16" spans="1:14" ht="49.5" customHeight="1" x14ac:dyDescent="0.25">
      <c r="A16" s="216">
        <v>1</v>
      </c>
      <c r="B16" s="218" t="s">
        <v>135</v>
      </c>
      <c r="C16" s="73">
        <v>0</v>
      </c>
      <c r="D16" s="73">
        <f>N47+N64+N81</f>
        <v>1745.6922654748053</v>
      </c>
      <c r="E16" s="73">
        <f>D16*11%</f>
        <v>192.02614920222857</v>
      </c>
      <c r="F16" s="73"/>
      <c r="G16" s="73">
        <v>0</v>
      </c>
      <c r="H16" s="73">
        <f>C16+D16+E16+G16</f>
        <v>1937.7184146770337</v>
      </c>
      <c r="I16" s="74">
        <f>Смета!$E$21</f>
        <v>0.10000021516836566</v>
      </c>
      <c r="J16" s="73">
        <f>D16*I16</f>
        <v>174.56960216523223</v>
      </c>
      <c r="K16" s="73">
        <f>H16+J16</f>
        <v>2112.2880168422657</v>
      </c>
      <c r="L16" s="75">
        <f>(K16*15%)</f>
        <v>316.84320252633984</v>
      </c>
      <c r="M16" s="217">
        <f t="shared" ref="M16:M32" si="0">K16+L16</f>
        <v>2429.1312193686053</v>
      </c>
      <c r="N16" s="90"/>
    </row>
    <row r="17" spans="1:14" ht="49.5" customHeight="1" x14ac:dyDescent="0.25">
      <c r="A17" s="216">
        <v>2</v>
      </c>
      <c r="B17" s="218" t="s">
        <v>136</v>
      </c>
      <c r="C17" s="73">
        <v>0</v>
      </c>
      <c r="D17" s="73">
        <f>N48+N65+N82</f>
        <v>1897.4720582869038</v>
      </c>
      <c r="E17" s="73">
        <f t="shared" ref="E17:E32" si="1">D17*11%</f>
        <v>208.72192641155942</v>
      </c>
      <c r="F17" s="73"/>
      <c r="G17" s="73">
        <f t="shared" ref="G17:G32" si="2">L88</f>
        <v>0</v>
      </c>
      <c r="H17" s="73">
        <f t="shared" ref="H17:H32" si="3">C17+D17+E17+G17</f>
        <v>2106.1939846984633</v>
      </c>
      <c r="I17" s="74">
        <f>Смета!$E$21</f>
        <v>0.10000021516836566</v>
      </c>
      <c r="J17" s="73">
        <f t="shared" ref="J17:J32" si="4">D17*I17</f>
        <v>189.74761410465203</v>
      </c>
      <c r="K17" s="73">
        <f t="shared" ref="K17:K32" si="5">H17+J17</f>
        <v>2295.9415988031151</v>
      </c>
      <c r="L17" s="75">
        <f>(K17*15%)</f>
        <v>344.39123982046726</v>
      </c>
      <c r="M17" s="217">
        <f t="shared" si="0"/>
        <v>2640.3328386235826</v>
      </c>
      <c r="N17" s="90"/>
    </row>
    <row r="18" spans="1:14" ht="49.5" customHeight="1" x14ac:dyDescent="0.25">
      <c r="A18" s="216">
        <v>3</v>
      </c>
      <c r="B18" s="218" t="s">
        <v>137</v>
      </c>
      <c r="C18" s="73">
        <v>0</v>
      </c>
      <c r="D18" s="73">
        <f t="shared" ref="D18:D32" si="6">N49+N66+$N$83</f>
        <v>1579.5458270985121</v>
      </c>
      <c r="E18" s="73">
        <f t="shared" si="1"/>
        <v>173.75004098083633</v>
      </c>
      <c r="F18" s="73"/>
      <c r="G18" s="73">
        <f t="shared" si="2"/>
        <v>0</v>
      </c>
      <c r="H18" s="73">
        <f t="shared" si="3"/>
        <v>1753.2958680793483</v>
      </c>
      <c r="I18" s="74">
        <f>Смета!$E$21</f>
        <v>0.10000021516836566</v>
      </c>
      <c r="J18" s="73">
        <f t="shared" si="4"/>
        <v>157.9549225781453</v>
      </c>
      <c r="K18" s="73">
        <f t="shared" si="5"/>
        <v>1911.2507906574936</v>
      </c>
      <c r="L18" s="75">
        <f t="shared" ref="L18:L32" si="7">(K18*15%)</f>
        <v>286.687618598624</v>
      </c>
      <c r="M18" s="217">
        <f t="shared" si="0"/>
        <v>2197.9384092561177</v>
      </c>
      <c r="N18" s="90"/>
    </row>
    <row r="19" spans="1:14" ht="49.5" customHeight="1" x14ac:dyDescent="0.25">
      <c r="A19" s="216">
        <v>4</v>
      </c>
      <c r="B19" s="218" t="s">
        <v>138</v>
      </c>
      <c r="C19" s="73">
        <v>0</v>
      </c>
      <c r="D19" s="73">
        <f t="shared" si="6"/>
        <v>1695.3197968529969</v>
      </c>
      <c r="E19" s="73">
        <f t="shared" si="1"/>
        <v>186.48517765382965</v>
      </c>
      <c r="F19" s="73"/>
      <c r="G19" s="73">
        <f t="shared" si="2"/>
        <v>0</v>
      </c>
      <c r="H19" s="73">
        <f t="shared" si="3"/>
        <v>1881.8049745068265</v>
      </c>
      <c r="I19" s="74">
        <f>Смета!$E$21</f>
        <v>0.10000021516836566</v>
      </c>
      <c r="J19" s="73">
        <f t="shared" si="4"/>
        <v>169.53234446448965</v>
      </c>
      <c r="K19" s="73">
        <f t="shared" si="5"/>
        <v>2051.3373189713161</v>
      </c>
      <c r="L19" s="75">
        <f t="shared" si="7"/>
        <v>307.70059784569742</v>
      </c>
      <c r="M19" s="217">
        <f t="shared" si="0"/>
        <v>2359.0379168170134</v>
      </c>
      <c r="N19" s="90"/>
    </row>
    <row r="20" spans="1:14" ht="49.5" customHeight="1" x14ac:dyDescent="0.25">
      <c r="A20" s="216">
        <v>5</v>
      </c>
      <c r="B20" s="218" t="s">
        <v>139</v>
      </c>
      <c r="C20" s="73">
        <v>0</v>
      </c>
      <c r="D20" s="73">
        <f t="shared" si="6"/>
        <v>1427.9791249617335</v>
      </c>
      <c r="E20" s="73">
        <f t="shared" si="1"/>
        <v>157.0777037457907</v>
      </c>
      <c r="F20" s="73"/>
      <c r="G20" s="73">
        <f t="shared" si="2"/>
        <v>0</v>
      </c>
      <c r="H20" s="73">
        <f t="shared" si="3"/>
        <v>1585.0568287075243</v>
      </c>
      <c r="I20" s="74">
        <f>Смета!$E$21</f>
        <v>0.10000021516836566</v>
      </c>
      <c r="J20" s="73">
        <f t="shared" si="4"/>
        <v>142.79821975210785</v>
      </c>
      <c r="K20" s="73">
        <f t="shared" si="5"/>
        <v>1727.8550484596321</v>
      </c>
      <c r="L20" s="75">
        <f t="shared" si="7"/>
        <v>259.17825726894483</v>
      </c>
      <c r="M20" s="217">
        <f t="shared" si="0"/>
        <v>1987.033305728577</v>
      </c>
      <c r="N20" s="90"/>
    </row>
    <row r="21" spans="1:14" ht="49.5" customHeight="1" x14ac:dyDescent="0.25">
      <c r="A21" s="216">
        <v>6</v>
      </c>
      <c r="B21" s="218" t="s">
        <v>140</v>
      </c>
      <c r="C21" s="73">
        <v>0</v>
      </c>
      <c r="D21" s="73">
        <f t="shared" si="6"/>
        <v>1451.7224825812771</v>
      </c>
      <c r="E21" s="73">
        <f t="shared" si="1"/>
        <v>159.68947308394047</v>
      </c>
      <c r="F21" s="73"/>
      <c r="G21" s="73">
        <f t="shared" si="2"/>
        <v>0</v>
      </c>
      <c r="H21" s="73">
        <f t="shared" si="3"/>
        <v>1611.4119556652176</v>
      </c>
      <c r="I21" s="74">
        <f>Смета!$E$21</f>
        <v>0.10000021516836566</v>
      </c>
      <c r="J21" s="73">
        <f t="shared" si="4"/>
        <v>145.17256062288166</v>
      </c>
      <c r="K21" s="73">
        <f t="shared" si="5"/>
        <v>1756.5845162880994</v>
      </c>
      <c r="L21" s="75">
        <f t="shared" si="7"/>
        <v>263.48767744321492</v>
      </c>
      <c r="M21" s="217">
        <f t="shared" si="0"/>
        <v>2020.0721937313142</v>
      </c>
      <c r="N21" s="90"/>
    </row>
    <row r="22" spans="1:14" ht="49.5" customHeight="1" x14ac:dyDescent="0.25">
      <c r="A22" s="216">
        <v>7</v>
      </c>
      <c r="B22" s="218" t="s">
        <v>141</v>
      </c>
      <c r="C22" s="73">
        <v>0</v>
      </c>
      <c r="D22" s="73">
        <f t="shared" si="6"/>
        <v>1373.28850021429</v>
      </c>
      <c r="E22" s="73">
        <f t="shared" si="1"/>
        <v>151.06173502357191</v>
      </c>
      <c r="F22" s="73"/>
      <c r="G22" s="73">
        <f t="shared" si="2"/>
        <v>0</v>
      </c>
      <c r="H22" s="73">
        <f t="shared" si="3"/>
        <v>1524.3502352378619</v>
      </c>
      <c r="I22" s="74">
        <f>Смета!$E$21</f>
        <v>0.10000021516836566</v>
      </c>
      <c r="J22" s="73">
        <f t="shared" si="4"/>
        <v>137.32914550967118</v>
      </c>
      <c r="K22" s="73">
        <f t="shared" si="5"/>
        <v>1661.6793807475331</v>
      </c>
      <c r="L22" s="75">
        <f t="shared" si="7"/>
        <v>249.25190711212994</v>
      </c>
      <c r="M22" s="217">
        <f t="shared" si="0"/>
        <v>1910.9312878596629</v>
      </c>
      <c r="N22" s="90"/>
    </row>
    <row r="23" spans="1:14" ht="49.5" customHeight="1" x14ac:dyDescent="0.25">
      <c r="A23" s="216">
        <v>8</v>
      </c>
      <c r="B23" s="218" t="s">
        <v>142</v>
      </c>
      <c r="C23" s="73">
        <v>0</v>
      </c>
      <c r="D23" s="73">
        <f t="shared" si="6"/>
        <v>1551.4510856548093</v>
      </c>
      <c r="E23" s="73">
        <f t="shared" si="1"/>
        <v>170.65961942202901</v>
      </c>
      <c r="F23" s="73"/>
      <c r="G23" s="73">
        <f t="shared" si="2"/>
        <v>0</v>
      </c>
      <c r="H23" s="73">
        <f t="shared" si="3"/>
        <v>1722.1107050768383</v>
      </c>
      <c r="I23" s="74">
        <f>Смета!$E$21</f>
        <v>0.10000021516836566</v>
      </c>
      <c r="J23" s="73">
        <f t="shared" si="4"/>
        <v>155.14544238867543</v>
      </c>
      <c r="K23" s="73">
        <f t="shared" si="5"/>
        <v>1877.2561474655138</v>
      </c>
      <c r="L23" s="75">
        <f t="shared" si="7"/>
        <v>281.58842211982704</v>
      </c>
      <c r="M23" s="217">
        <f t="shared" si="0"/>
        <v>2158.8445695853407</v>
      </c>
      <c r="N23" s="90"/>
    </row>
    <row r="24" spans="1:14" ht="49.5" customHeight="1" x14ac:dyDescent="0.25">
      <c r="A24" s="216">
        <v>9</v>
      </c>
      <c r="B24" s="218" t="s">
        <v>143</v>
      </c>
      <c r="C24" s="73">
        <v>0</v>
      </c>
      <c r="D24" s="73">
        <f t="shared" si="6"/>
        <v>1736.9671052470458</v>
      </c>
      <c r="E24" s="73">
        <f t="shared" si="1"/>
        <v>191.06638157717504</v>
      </c>
      <c r="F24" s="73"/>
      <c r="G24" s="73">
        <f t="shared" si="2"/>
        <v>0</v>
      </c>
      <c r="H24" s="73">
        <f t="shared" si="3"/>
        <v>1928.0334868242207</v>
      </c>
      <c r="I24" s="74">
        <f>Смета!$E$21</f>
        <v>0.10000021516836566</v>
      </c>
      <c r="J24" s="73">
        <f t="shared" si="4"/>
        <v>173.69708426507782</v>
      </c>
      <c r="K24" s="73">
        <f t="shared" si="5"/>
        <v>2101.7305710892988</v>
      </c>
      <c r="L24" s="75">
        <f t="shared" si="7"/>
        <v>315.25958566339483</v>
      </c>
      <c r="M24" s="217">
        <f t="shared" si="0"/>
        <v>2416.9901567526936</v>
      </c>
      <c r="N24" s="90"/>
    </row>
    <row r="25" spans="1:14" ht="49.5" customHeight="1" x14ac:dyDescent="0.25">
      <c r="A25" s="216">
        <v>10</v>
      </c>
      <c r="B25" s="218" t="s">
        <v>144</v>
      </c>
      <c r="C25" s="73">
        <v>0</v>
      </c>
      <c r="D25" s="73">
        <f t="shared" si="6"/>
        <v>1616.4618001591869</v>
      </c>
      <c r="E25" s="73">
        <f t="shared" si="1"/>
        <v>177.81079801751056</v>
      </c>
      <c r="F25" s="73"/>
      <c r="G25" s="73">
        <f t="shared" si="2"/>
        <v>0</v>
      </c>
      <c r="H25" s="73">
        <f t="shared" si="3"/>
        <v>1794.2725981766973</v>
      </c>
      <c r="I25" s="74">
        <f>Смета!$E$21</f>
        <v>0.10000021516836566</v>
      </c>
      <c r="J25" s="73">
        <f t="shared" si="4"/>
        <v>161.64652782736238</v>
      </c>
      <c r="K25" s="73">
        <f t="shared" si="5"/>
        <v>1955.9191260040598</v>
      </c>
      <c r="L25" s="75">
        <f t="shared" si="7"/>
        <v>293.38786890060896</v>
      </c>
      <c r="M25" s="217">
        <f t="shared" si="0"/>
        <v>2249.3069949046685</v>
      </c>
      <c r="N25" s="90"/>
    </row>
    <row r="26" spans="1:14" ht="49.5" customHeight="1" x14ac:dyDescent="0.25">
      <c r="A26" s="216">
        <v>11</v>
      </c>
      <c r="B26" s="218" t="s">
        <v>145</v>
      </c>
      <c r="C26" s="73">
        <v>0</v>
      </c>
      <c r="D26" s="73">
        <f t="shared" si="6"/>
        <v>1735.2349308761397</v>
      </c>
      <c r="E26" s="73">
        <f t="shared" si="1"/>
        <v>190.87584239637536</v>
      </c>
      <c r="F26" s="73"/>
      <c r="G26" s="73">
        <f t="shared" si="2"/>
        <v>0</v>
      </c>
      <c r="H26" s="73">
        <f t="shared" si="3"/>
        <v>1926.1107732725152</v>
      </c>
      <c r="I26" s="74">
        <f>Смета!$E$21</f>
        <v>0.10000021516836566</v>
      </c>
      <c r="J26" s="73">
        <f t="shared" si="4"/>
        <v>173.5238664552781</v>
      </c>
      <c r="K26" s="73">
        <f t="shared" si="5"/>
        <v>2099.6346397277935</v>
      </c>
      <c r="L26" s="75">
        <f t="shared" si="7"/>
        <v>314.94519595916898</v>
      </c>
      <c r="M26" s="217">
        <f t="shared" si="0"/>
        <v>2414.5798356869623</v>
      </c>
      <c r="N26" s="90"/>
    </row>
    <row r="27" spans="1:14" ht="49.5" customHeight="1" x14ac:dyDescent="0.25">
      <c r="A27" s="216">
        <v>12</v>
      </c>
      <c r="B27" s="218" t="s">
        <v>146</v>
      </c>
      <c r="C27" s="73">
        <v>0</v>
      </c>
      <c r="D27" s="73">
        <f t="shared" si="6"/>
        <v>1735.2349308761397</v>
      </c>
      <c r="E27" s="73">
        <f t="shared" si="1"/>
        <v>190.87584239637536</v>
      </c>
      <c r="F27" s="73"/>
      <c r="G27" s="73">
        <f t="shared" si="2"/>
        <v>0</v>
      </c>
      <c r="H27" s="73">
        <f t="shared" si="3"/>
        <v>1926.1107732725152</v>
      </c>
      <c r="I27" s="74">
        <f>Смета!$E$21</f>
        <v>0.10000021516836566</v>
      </c>
      <c r="J27" s="73">
        <f t="shared" si="4"/>
        <v>173.5238664552781</v>
      </c>
      <c r="K27" s="73">
        <f t="shared" si="5"/>
        <v>2099.6346397277935</v>
      </c>
      <c r="L27" s="75">
        <f t="shared" si="7"/>
        <v>314.94519595916898</v>
      </c>
      <c r="M27" s="217">
        <f t="shared" si="0"/>
        <v>2414.5798356869623</v>
      </c>
      <c r="N27" s="90"/>
    </row>
    <row r="28" spans="1:14" ht="49.5" customHeight="1" x14ac:dyDescent="0.25">
      <c r="A28" s="216">
        <v>13</v>
      </c>
      <c r="B28" s="218" t="s">
        <v>147</v>
      </c>
      <c r="C28" s="73">
        <v>0</v>
      </c>
      <c r="D28" s="73">
        <f t="shared" si="6"/>
        <v>1585.9659963264553</v>
      </c>
      <c r="E28" s="73">
        <f t="shared" si="1"/>
        <v>174.4562595959101</v>
      </c>
      <c r="F28" s="73"/>
      <c r="G28" s="73">
        <f t="shared" si="2"/>
        <v>0</v>
      </c>
      <c r="H28" s="73">
        <f t="shared" si="3"/>
        <v>1760.4222559223654</v>
      </c>
      <c r="I28" s="74">
        <f>Смета!$E$21</f>
        <v>0.10000021516836566</v>
      </c>
      <c r="J28" s="73">
        <f t="shared" si="4"/>
        <v>158.59694088235696</v>
      </c>
      <c r="K28" s="73">
        <f t="shared" si="5"/>
        <v>1919.0191968047222</v>
      </c>
      <c r="L28" s="75">
        <f t="shared" si="7"/>
        <v>287.85287952070831</v>
      </c>
      <c r="M28" s="217">
        <f t="shared" si="0"/>
        <v>2206.8720763254305</v>
      </c>
      <c r="N28" s="90"/>
    </row>
    <row r="29" spans="1:14" ht="49.5" customHeight="1" x14ac:dyDescent="0.25">
      <c r="A29" s="216">
        <v>14</v>
      </c>
      <c r="B29" s="218" t="s">
        <v>148</v>
      </c>
      <c r="C29" s="73">
        <v>0</v>
      </c>
      <c r="D29" s="73">
        <f t="shared" si="6"/>
        <v>1582.5240401640847</v>
      </c>
      <c r="E29" s="73">
        <f t="shared" si="1"/>
        <v>174.07764441804932</v>
      </c>
      <c r="F29" s="73"/>
      <c r="G29" s="73">
        <f t="shared" si="2"/>
        <v>0</v>
      </c>
      <c r="H29" s="73">
        <f t="shared" si="3"/>
        <v>1756.6016845821341</v>
      </c>
      <c r="I29" s="74">
        <f>Смета!$E$21</f>
        <v>0.10000021516836566</v>
      </c>
      <c r="J29" s="73">
        <f t="shared" si="4"/>
        <v>158.2527445255198</v>
      </c>
      <c r="K29" s="73">
        <f t="shared" si="5"/>
        <v>1914.8544291076539</v>
      </c>
      <c r="L29" s="75">
        <f t="shared" si="7"/>
        <v>287.22816436614806</v>
      </c>
      <c r="M29" s="217">
        <f t="shared" si="0"/>
        <v>2202.0825934738018</v>
      </c>
      <c r="N29" s="90"/>
    </row>
    <row r="30" spans="1:14" ht="49.5" customHeight="1" x14ac:dyDescent="0.25">
      <c r="A30" s="216">
        <v>15</v>
      </c>
      <c r="B30" s="218" t="s">
        <v>149</v>
      </c>
      <c r="C30" s="73">
        <v>0</v>
      </c>
      <c r="D30" s="73">
        <f t="shared" si="6"/>
        <v>1582.5240401640847</v>
      </c>
      <c r="E30" s="73">
        <f t="shared" si="1"/>
        <v>174.07764441804932</v>
      </c>
      <c r="F30" s="73"/>
      <c r="G30" s="73">
        <f t="shared" si="2"/>
        <v>0</v>
      </c>
      <c r="H30" s="73">
        <f t="shared" si="3"/>
        <v>1756.6016845821341</v>
      </c>
      <c r="I30" s="74">
        <f>Смета!$E$21</f>
        <v>0.10000021516836566</v>
      </c>
      <c r="J30" s="73">
        <f t="shared" si="4"/>
        <v>158.2527445255198</v>
      </c>
      <c r="K30" s="73">
        <f t="shared" si="5"/>
        <v>1914.8544291076539</v>
      </c>
      <c r="L30" s="75">
        <f t="shared" si="7"/>
        <v>287.22816436614806</v>
      </c>
      <c r="M30" s="217">
        <f t="shared" si="0"/>
        <v>2202.0825934738018</v>
      </c>
      <c r="N30" s="90"/>
    </row>
    <row r="31" spans="1:14" ht="49.5" customHeight="1" x14ac:dyDescent="0.25">
      <c r="A31" s="216">
        <v>16</v>
      </c>
      <c r="B31" s="218" t="s">
        <v>150</v>
      </c>
      <c r="C31" s="73">
        <v>0</v>
      </c>
      <c r="D31" s="73">
        <f t="shared" si="6"/>
        <v>1366.629958366497</v>
      </c>
      <c r="E31" s="73">
        <f t="shared" si="1"/>
        <v>150.32929542031468</v>
      </c>
      <c r="F31" s="73"/>
      <c r="G31" s="73">
        <f t="shared" si="2"/>
        <v>0</v>
      </c>
      <c r="H31" s="73">
        <f t="shared" si="3"/>
        <v>1516.9592537868116</v>
      </c>
      <c r="I31" s="74">
        <f>Смета!$E$21</f>
        <v>0.10000021516836566</v>
      </c>
      <c r="J31" s="73">
        <f t="shared" si="4"/>
        <v>136.66328989218431</v>
      </c>
      <c r="K31" s="73">
        <f t="shared" si="5"/>
        <v>1653.622543678996</v>
      </c>
      <c r="L31" s="75">
        <f t="shared" si="7"/>
        <v>248.04338155184939</v>
      </c>
      <c r="M31" s="217">
        <f t="shared" si="0"/>
        <v>1901.6659252308455</v>
      </c>
      <c r="N31" s="90"/>
    </row>
    <row r="32" spans="1:14" ht="49.5" customHeight="1" x14ac:dyDescent="0.25">
      <c r="A32" s="216">
        <v>17</v>
      </c>
      <c r="B32" s="218" t="s">
        <v>151</v>
      </c>
      <c r="C32" s="73">
        <v>0</v>
      </c>
      <c r="D32" s="73">
        <f t="shared" si="6"/>
        <v>1382.6803814363559</v>
      </c>
      <c r="E32" s="73">
        <f t="shared" si="1"/>
        <v>152.09484195799914</v>
      </c>
      <c r="F32" s="73"/>
      <c r="G32" s="73">
        <f t="shared" si="2"/>
        <v>0</v>
      </c>
      <c r="H32" s="73">
        <f t="shared" si="3"/>
        <v>1534.775223394355</v>
      </c>
      <c r="I32" s="74">
        <f>Смета!$E$21</f>
        <v>0.10000021516836566</v>
      </c>
      <c r="J32" s="73">
        <f t="shared" si="4"/>
        <v>138.26833565271349</v>
      </c>
      <c r="K32" s="73">
        <f t="shared" si="5"/>
        <v>1673.0435590470684</v>
      </c>
      <c r="L32" s="75">
        <f t="shared" si="7"/>
        <v>250.95653385706024</v>
      </c>
      <c r="M32" s="217">
        <f t="shared" si="0"/>
        <v>1924.0000929041287</v>
      </c>
      <c r="N32" s="90"/>
    </row>
    <row r="33" spans="1:14" x14ac:dyDescent="0.25">
      <c r="A33" s="107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90"/>
      <c r="M33" s="90"/>
      <c r="N33" s="90"/>
    </row>
    <row r="34" spans="1:14" ht="18.75" x14ac:dyDescent="0.25">
      <c r="A34" s="318" t="s">
        <v>26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</row>
    <row r="35" spans="1:14" ht="15.75" thickBot="1" x14ac:dyDescent="0.3">
      <c r="A35" s="38"/>
      <c r="B35" s="39"/>
      <c r="C35" s="40"/>
      <c r="D35" s="40"/>
      <c r="E35" s="41"/>
      <c r="F35" s="41"/>
      <c r="G35" s="40"/>
      <c r="H35" s="41"/>
      <c r="I35" s="42"/>
      <c r="J35" s="41"/>
      <c r="K35" s="41"/>
    </row>
    <row r="36" spans="1:14" ht="51.75" thickBot="1" x14ac:dyDescent="0.3">
      <c r="A36" s="43" t="s">
        <v>7</v>
      </c>
      <c r="B36" s="44" t="s">
        <v>27</v>
      </c>
      <c r="C36" s="44" t="s">
        <v>28</v>
      </c>
      <c r="D36" s="44" t="s">
        <v>29</v>
      </c>
      <c r="E36" s="45" t="s">
        <v>30</v>
      </c>
      <c r="F36" s="44" t="s">
        <v>31</v>
      </c>
    </row>
    <row r="37" spans="1:14" ht="15.75" thickBot="1" x14ac:dyDescent="0.3">
      <c r="A37" s="220"/>
      <c r="B37" s="221"/>
      <c r="C37" s="222"/>
      <c r="D37" s="223"/>
      <c r="E37" s="224"/>
      <c r="F37" s="225"/>
      <c r="G37" s="110"/>
    </row>
    <row r="38" spans="1:14" ht="18.75" x14ac:dyDescent="0.25">
      <c r="A38" s="328" t="s">
        <v>37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</row>
    <row r="39" spans="1:14" ht="19.5" thickBot="1" x14ac:dyDescent="0.3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 t="s">
        <v>38</v>
      </c>
    </row>
    <row r="40" spans="1:14" ht="15.75" customHeight="1" thickBot="1" x14ac:dyDescent="0.3">
      <c r="A40" s="319" t="s">
        <v>7</v>
      </c>
      <c r="B40" s="319" t="s">
        <v>39</v>
      </c>
      <c r="C40" s="337" t="s">
        <v>40</v>
      </c>
      <c r="D40" s="337" t="s">
        <v>41</v>
      </c>
      <c r="E40" s="337" t="s">
        <v>102</v>
      </c>
      <c r="F40" s="319" t="s">
        <v>43</v>
      </c>
      <c r="G40" s="340" t="s">
        <v>188</v>
      </c>
      <c r="H40" s="341"/>
      <c r="I40" s="342"/>
      <c r="J40" s="315" t="s">
        <v>44</v>
      </c>
      <c r="K40" s="319" t="s">
        <v>45</v>
      </c>
      <c r="L40" s="319" t="s">
        <v>46</v>
      </c>
      <c r="M40" s="319" t="s">
        <v>47</v>
      </c>
      <c r="N40" s="319" t="s">
        <v>48</v>
      </c>
    </row>
    <row r="41" spans="1:14" ht="15" customHeight="1" x14ac:dyDescent="0.25">
      <c r="A41" s="320"/>
      <c r="B41" s="320"/>
      <c r="C41" s="338"/>
      <c r="D41" s="338"/>
      <c r="E41" s="338"/>
      <c r="F41" s="320"/>
      <c r="G41" s="315" t="s">
        <v>49</v>
      </c>
      <c r="H41" s="315" t="s">
        <v>50</v>
      </c>
      <c r="I41" s="332" t="s">
        <v>187</v>
      </c>
      <c r="J41" s="316"/>
      <c r="K41" s="320"/>
      <c r="L41" s="320"/>
      <c r="M41" s="320"/>
      <c r="N41" s="320"/>
    </row>
    <row r="42" spans="1:14" x14ac:dyDescent="0.25">
      <c r="A42" s="320"/>
      <c r="B42" s="320"/>
      <c r="C42" s="338"/>
      <c r="D42" s="338"/>
      <c r="E42" s="338"/>
      <c r="F42" s="320"/>
      <c r="G42" s="316"/>
      <c r="H42" s="316"/>
      <c r="I42" s="320"/>
      <c r="J42" s="316"/>
      <c r="K42" s="320"/>
      <c r="L42" s="320"/>
      <c r="M42" s="320"/>
      <c r="N42" s="320"/>
    </row>
    <row r="43" spans="1:14" ht="15.75" thickBot="1" x14ac:dyDescent="0.3">
      <c r="A43" s="320"/>
      <c r="B43" s="320"/>
      <c r="C43" s="338"/>
      <c r="D43" s="338"/>
      <c r="E43" s="338"/>
      <c r="F43" s="320"/>
      <c r="G43" s="317"/>
      <c r="H43" s="317"/>
      <c r="I43" s="321"/>
      <c r="J43" s="316"/>
      <c r="K43" s="320"/>
      <c r="L43" s="320"/>
      <c r="M43" s="320"/>
      <c r="N43" s="320"/>
    </row>
    <row r="44" spans="1:14" x14ac:dyDescent="0.25">
      <c r="A44" s="320"/>
      <c r="B44" s="320"/>
      <c r="C44" s="338"/>
      <c r="D44" s="338"/>
      <c r="E44" s="338"/>
      <c r="F44" s="320"/>
      <c r="G44" s="343" t="s">
        <v>19</v>
      </c>
      <c r="H44" s="333" t="s">
        <v>19</v>
      </c>
      <c r="I44" s="335" t="s">
        <v>19</v>
      </c>
      <c r="J44" s="316"/>
      <c r="K44" s="320"/>
      <c r="L44" s="320"/>
      <c r="M44" s="320"/>
      <c r="N44" s="320"/>
    </row>
    <row r="45" spans="1:14" ht="15.75" thickBot="1" x14ac:dyDescent="0.3">
      <c r="A45" s="321"/>
      <c r="B45" s="321"/>
      <c r="C45" s="339"/>
      <c r="D45" s="339"/>
      <c r="E45" s="339"/>
      <c r="F45" s="321"/>
      <c r="G45" s="344"/>
      <c r="H45" s="334"/>
      <c r="I45" s="336"/>
      <c r="J45" s="317"/>
      <c r="K45" s="321"/>
      <c r="L45" s="321"/>
      <c r="M45" s="321"/>
      <c r="N45" s="321"/>
    </row>
    <row r="46" spans="1:14" ht="13.5" customHeight="1" x14ac:dyDescent="0.25">
      <c r="A46" s="111">
        <v>1</v>
      </c>
      <c r="B46" s="112">
        <v>2</v>
      </c>
      <c r="C46" s="113">
        <v>3</v>
      </c>
      <c r="D46" s="113">
        <v>4</v>
      </c>
      <c r="E46" s="113">
        <v>5</v>
      </c>
      <c r="F46" s="113">
        <v>6</v>
      </c>
      <c r="G46" s="113">
        <v>7</v>
      </c>
      <c r="H46" s="113">
        <v>8</v>
      </c>
      <c r="I46" s="51">
        <v>9</v>
      </c>
      <c r="J46" s="114">
        <v>10</v>
      </c>
      <c r="K46" s="114">
        <v>11</v>
      </c>
      <c r="L46" s="114">
        <v>12</v>
      </c>
      <c r="M46" s="113">
        <v>13</v>
      </c>
      <c r="N46" s="115">
        <v>14</v>
      </c>
    </row>
    <row r="47" spans="1:14" x14ac:dyDescent="0.25">
      <c r="A47" s="229">
        <v>1</v>
      </c>
      <c r="B47" s="230" t="s">
        <v>152</v>
      </c>
      <c r="C47" s="229" t="s">
        <v>105</v>
      </c>
      <c r="D47" s="229">
        <v>4.7699999999999996</v>
      </c>
      <c r="E47" s="117">
        <v>17697</v>
      </c>
      <c r="F47" s="117">
        <f>D47*E47*2.02</f>
        <v>170517.67379999999</v>
      </c>
      <c r="G47" s="231"/>
      <c r="H47" s="117">
        <f>E47*150%</f>
        <v>26545.5</v>
      </c>
      <c r="I47" s="117">
        <f>F47*10%</f>
        <v>17051.767380000001</v>
      </c>
      <c r="J47" s="117">
        <f t="shared" ref="J47:J63" si="8">F47+G47+H47+I47</f>
        <v>214114.94117999999</v>
      </c>
      <c r="K47" s="117">
        <f>J47/163.33</f>
        <v>1310.9345569093246</v>
      </c>
      <c r="L47" s="117">
        <f>K47/60</f>
        <v>21.848909281822078</v>
      </c>
      <c r="M47" s="117">
        <v>40</v>
      </c>
      <c r="N47" s="219">
        <f>L47*M47</f>
        <v>873.95637127288308</v>
      </c>
    </row>
    <row r="48" spans="1:14" x14ac:dyDescent="0.25">
      <c r="A48" s="229">
        <v>2</v>
      </c>
      <c r="B48" s="230" t="s">
        <v>153</v>
      </c>
      <c r="C48" s="229" t="s">
        <v>105</v>
      </c>
      <c r="D48" s="229">
        <v>5.99</v>
      </c>
      <c r="E48" s="117">
        <v>17697</v>
      </c>
      <c r="F48" s="117">
        <f t="shared" ref="F48:F63" si="9">D48*E48*2.02</f>
        <v>214130.1606</v>
      </c>
      <c r="G48" s="231"/>
      <c r="H48" s="117">
        <f>E48*150%</f>
        <v>26545.5</v>
      </c>
      <c r="I48" s="117">
        <f t="shared" ref="I48:I63" si="10">F48*10%</f>
        <v>21413.016060000002</v>
      </c>
      <c r="J48" s="117">
        <f t="shared" si="8"/>
        <v>262088.67666</v>
      </c>
      <c r="K48" s="117">
        <f t="shared" ref="K48:K83" si="11">J48/163.33</f>
        <v>1604.6572990877364</v>
      </c>
      <c r="L48" s="117">
        <f t="shared" ref="L48:L83" si="12">K48/60</f>
        <v>26.744288318128941</v>
      </c>
      <c r="M48" s="117">
        <v>40</v>
      </c>
      <c r="N48" s="219">
        <f t="shared" ref="N48:N63" si="13">L48*M48</f>
        <v>1069.7715327251576</v>
      </c>
    </row>
    <row r="49" spans="1:14" x14ac:dyDescent="0.25">
      <c r="A49" s="229">
        <v>3</v>
      </c>
      <c r="B49" s="230" t="s">
        <v>154</v>
      </c>
      <c r="C49" s="229" t="s">
        <v>103</v>
      </c>
      <c r="D49" s="229">
        <v>4.17</v>
      </c>
      <c r="E49" s="117">
        <v>17697</v>
      </c>
      <c r="F49" s="117">
        <f t="shared" si="9"/>
        <v>149068.90980000002</v>
      </c>
      <c r="G49" s="231"/>
      <c r="H49" s="117">
        <f>E49*80%</f>
        <v>14157.6</v>
      </c>
      <c r="I49" s="117">
        <f t="shared" si="10"/>
        <v>14906.890980000004</v>
      </c>
      <c r="J49" s="117">
        <f t="shared" si="8"/>
        <v>178133.40078000003</v>
      </c>
      <c r="K49" s="117">
        <f t="shared" si="11"/>
        <v>1090.6349156921572</v>
      </c>
      <c r="L49" s="117">
        <f t="shared" si="12"/>
        <v>18.177248594869287</v>
      </c>
      <c r="M49" s="117">
        <v>40</v>
      </c>
      <c r="N49" s="219">
        <f t="shared" si="13"/>
        <v>727.08994379477144</v>
      </c>
    </row>
    <row r="50" spans="1:14" x14ac:dyDescent="0.25">
      <c r="A50" s="229">
        <v>4</v>
      </c>
      <c r="B50" s="230" t="s">
        <v>155</v>
      </c>
      <c r="C50" s="229" t="s">
        <v>105</v>
      </c>
      <c r="D50" s="229">
        <v>5.99</v>
      </c>
      <c r="E50" s="117">
        <v>17697</v>
      </c>
      <c r="F50" s="117">
        <f t="shared" si="9"/>
        <v>214130.1606</v>
      </c>
      <c r="G50" s="231"/>
      <c r="H50" s="117">
        <f>E50*8%</f>
        <v>1415.76</v>
      </c>
      <c r="I50" s="117">
        <f t="shared" si="10"/>
        <v>21413.016060000002</v>
      </c>
      <c r="J50" s="117">
        <f t="shared" si="8"/>
        <v>236958.93666000001</v>
      </c>
      <c r="K50" s="117">
        <f t="shared" si="11"/>
        <v>1450.7986080940427</v>
      </c>
      <c r="L50" s="117">
        <f t="shared" si="12"/>
        <v>24.179976801567378</v>
      </c>
      <c r="M50" s="117">
        <v>40</v>
      </c>
      <c r="N50" s="219">
        <f t="shared" si="13"/>
        <v>967.19907206269511</v>
      </c>
    </row>
    <row r="51" spans="1:14" x14ac:dyDescent="0.25">
      <c r="A51" s="229">
        <v>5</v>
      </c>
      <c r="B51" s="230" t="s">
        <v>156</v>
      </c>
      <c r="C51" s="229" t="s">
        <v>191</v>
      </c>
      <c r="D51" s="229">
        <v>4.1900000000000004</v>
      </c>
      <c r="E51" s="117">
        <v>17697</v>
      </c>
      <c r="F51" s="117">
        <f t="shared" si="9"/>
        <v>149783.86860000002</v>
      </c>
      <c r="G51" s="231"/>
      <c r="H51" s="117"/>
      <c r="I51" s="117">
        <f t="shared" si="10"/>
        <v>14978.386860000002</v>
      </c>
      <c r="J51" s="117">
        <f t="shared" si="8"/>
        <v>164762.25546000001</v>
      </c>
      <c r="K51" s="117">
        <f t="shared" si="11"/>
        <v>1008.769089940611</v>
      </c>
      <c r="L51" s="117">
        <f t="shared" si="12"/>
        <v>16.812818165676852</v>
      </c>
      <c r="M51" s="117">
        <v>40</v>
      </c>
      <c r="N51" s="219">
        <f t="shared" si="13"/>
        <v>672.51272662707402</v>
      </c>
    </row>
    <row r="52" spans="1:14" x14ac:dyDescent="0.25">
      <c r="A52" s="229">
        <v>6</v>
      </c>
      <c r="B52" s="230" t="s">
        <v>157</v>
      </c>
      <c r="C52" s="229" t="s">
        <v>103</v>
      </c>
      <c r="D52" s="229">
        <v>4.3499999999999996</v>
      </c>
      <c r="E52" s="117">
        <v>17697</v>
      </c>
      <c r="F52" s="117">
        <f t="shared" si="9"/>
        <v>155503.53899999999</v>
      </c>
      <c r="G52" s="231"/>
      <c r="H52" s="117">
        <f>E52*80%</f>
        <v>14157.6</v>
      </c>
      <c r="I52" s="117">
        <f t="shared" si="10"/>
        <v>15550.3539</v>
      </c>
      <c r="J52" s="117">
        <f t="shared" si="8"/>
        <v>185211.49289999998</v>
      </c>
      <c r="K52" s="117">
        <f t="shared" si="11"/>
        <v>1133.971057980775</v>
      </c>
      <c r="L52" s="117">
        <f t="shared" si="12"/>
        <v>18.899517633012916</v>
      </c>
      <c r="M52" s="117">
        <v>40</v>
      </c>
      <c r="N52" s="219">
        <f t="shared" si="13"/>
        <v>755.98070532051668</v>
      </c>
    </row>
    <row r="53" spans="1:14" x14ac:dyDescent="0.25">
      <c r="A53" s="229">
        <v>7</v>
      </c>
      <c r="B53" s="230" t="s">
        <v>158</v>
      </c>
      <c r="C53" s="229" t="s">
        <v>103</v>
      </c>
      <c r="D53" s="229">
        <v>3.47</v>
      </c>
      <c r="E53" s="117">
        <v>17697</v>
      </c>
      <c r="F53" s="117">
        <f t="shared" si="9"/>
        <v>124045.3518</v>
      </c>
      <c r="G53" s="231"/>
      <c r="H53" s="117"/>
      <c r="I53" s="117">
        <f t="shared" si="10"/>
        <v>12404.535180000001</v>
      </c>
      <c r="J53" s="117">
        <f t="shared" si="8"/>
        <v>136449.88698000001</v>
      </c>
      <c r="K53" s="117">
        <f t="shared" si="11"/>
        <v>835.42452078613849</v>
      </c>
      <c r="L53" s="117">
        <f t="shared" si="12"/>
        <v>13.923742013102308</v>
      </c>
      <c r="M53" s="117">
        <v>40</v>
      </c>
      <c r="N53" s="219">
        <f t="shared" si="13"/>
        <v>556.94968052409229</v>
      </c>
    </row>
    <row r="54" spans="1:14" x14ac:dyDescent="0.25">
      <c r="A54" s="229">
        <v>8</v>
      </c>
      <c r="B54" s="230" t="s">
        <v>159</v>
      </c>
      <c r="C54" s="229" t="s">
        <v>103</v>
      </c>
      <c r="D54" s="229">
        <v>4.4000000000000004</v>
      </c>
      <c r="E54" s="117">
        <v>17697</v>
      </c>
      <c r="F54" s="117">
        <f t="shared" si="9"/>
        <v>157290.93600000002</v>
      </c>
      <c r="G54" s="231">
        <f>E54*20%</f>
        <v>3539.4</v>
      </c>
      <c r="H54" s="117"/>
      <c r="I54" s="117">
        <f t="shared" si="10"/>
        <v>15729.093600000002</v>
      </c>
      <c r="J54" s="117">
        <f t="shared" si="8"/>
        <v>176559.4296</v>
      </c>
      <c r="K54" s="117">
        <f t="shared" si="11"/>
        <v>1080.9981607787913</v>
      </c>
      <c r="L54" s="117">
        <f t="shared" si="12"/>
        <v>18.016636012979856</v>
      </c>
      <c r="M54" s="117">
        <v>40</v>
      </c>
      <c r="N54" s="219">
        <f t="shared" si="13"/>
        <v>720.66544051919425</v>
      </c>
    </row>
    <row r="55" spans="1:14" x14ac:dyDescent="0.25">
      <c r="A55" s="229">
        <v>9</v>
      </c>
      <c r="B55" s="230" t="s">
        <v>160</v>
      </c>
      <c r="C55" s="229" t="s">
        <v>105</v>
      </c>
      <c r="D55" s="229">
        <v>5.99</v>
      </c>
      <c r="E55" s="117">
        <v>17697</v>
      </c>
      <c r="F55" s="117">
        <f t="shared" si="9"/>
        <v>214130.1606</v>
      </c>
      <c r="G55" s="231"/>
      <c r="H55" s="117">
        <f>E55*80%</f>
        <v>14157.6</v>
      </c>
      <c r="I55" s="117">
        <f t="shared" si="10"/>
        <v>21413.016060000002</v>
      </c>
      <c r="J55" s="117">
        <f t="shared" si="8"/>
        <v>249700.77666</v>
      </c>
      <c r="K55" s="117">
        <f t="shared" si="11"/>
        <v>1528.8114654992958</v>
      </c>
      <c r="L55" s="117">
        <f t="shared" si="12"/>
        <v>25.48019109165493</v>
      </c>
      <c r="M55" s="117">
        <v>40</v>
      </c>
      <c r="N55" s="219">
        <f t="shared" si="13"/>
        <v>1019.2076436661972</v>
      </c>
    </row>
    <row r="56" spans="1:14" x14ac:dyDescent="0.25">
      <c r="A56" s="229">
        <v>10</v>
      </c>
      <c r="B56" s="230" t="s">
        <v>161</v>
      </c>
      <c r="C56" s="229" t="s">
        <v>103</v>
      </c>
      <c r="D56" s="229">
        <v>4.4000000000000004</v>
      </c>
      <c r="E56" s="117">
        <v>17697</v>
      </c>
      <c r="F56" s="117">
        <f t="shared" si="9"/>
        <v>157290.93600000002</v>
      </c>
      <c r="G56" s="231"/>
      <c r="H56" s="117">
        <f>E56*80%</f>
        <v>14157.6</v>
      </c>
      <c r="I56" s="117">
        <f t="shared" si="10"/>
        <v>15729.093600000002</v>
      </c>
      <c r="J56" s="117">
        <f t="shared" si="8"/>
        <v>187177.62960000001</v>
      </c>
      <c r="K56" s="117">
        <f t="shared" si="11"/>
        <v>1146.0088752831691</v>
      </c>
      <c r="L56" s="117">
        <f t="shared" si="12"/>
        <v>19.100147921386153</v>
      </c>
      <c r="M56" s="117">
        <v>40</v>
      </c>
      <c r="N56" s="219">
        <f t="shared" si="13"/>
        <v>764.00591685544612</v>
      </c>
    </row>
    <row r="57" spans="1:14" x14ac:dyDescent="0.25">
      <c r="A57" s="229">
        <v>11</v>
      </c>
      <c r="B57" s="230" t="s">
        <v>162</v>
      </c>
      <c r="C57" s="229" t="s">
        <v>190</v>
      </c>
      <c r="D57" s="229">
        <v>5.14</v>
      </c>
      <c r="E57" s="117">
        <v>17697</v>
      </c>
      <c r="F57" s="117">
        <f t="shared" si="9"/>
        <v>183744.41159999996</v>
      </c>
      <c r="G57" s="231"/>
      <c r="H57" s="117">
        <f>E57*80%</f>
        <v>14157.6</v>
      </c>
      <c r="I57" s="117">
        <f t="shared" si="10"/>
        <v>18374.441159999998</v>
      </c>
      <c r="J57" s="117">
        <f t="shared" si="8"/>
        <v>216276.45275999996</v>
      </c>
      <c r="K57" s="117">
        <f t="shared" si="11"/>
        <v>1324.1685713585987</v>
      </c>
      <c r="L57" s="117">
        <f t="shared" si="12"/>
        <v>22.069476189309977</v>
      </c>
      <c r="M57" s="117">
        <v>40</v>
      </c>
      <c r="N57" s="219">
        <f t="shared" si="13"/>
        <v>882.77904757239912</v>
      </c>
    </row>
    <row r="58" spans="1:14" x14ac:dyDescent="0.25">
      <c r="A58" s="229">
        <v>12</v>
      </c>
      <c r="B58" s="230" t="s">
        <v>163</v>
      </c>
      <c r="C58" s="229" t="s">
        <v>103</v>
      </c>
      <c r="D58" s="229">
        <v>5.14</v>
      </c>
      <c r="E58" s="117">
        <v>17697</v>
      </c>
      <c r="F58" s="117">
        <f t="shared" si="9"/>
        <v>183744.41159999996</v>
      </c>
      <c r="G58" s="231"/>
      <c r="H58" s="117">
        <f>E58*80%</f>
        <v>14157.6</v>
      </c>
      <c r="I58" s="117">
        <f t="shared" si="10"/>
        <v>18374.441159999998</v>
      </c>
      <c r="J58" s="117">
        <f t="shared" si="8"/>
        <v>216276.45275999996</v>
      </c>
      <c r="K58" s="117">
        <f t="shared" si="11"/>
        <v>1324.1685713585987</v>
      </c>
      <c r="L58" s="117">
        <f t="shared" si="12"/>
        <v>22.069476189309977</v>
      </c>
      <c r="M58" s="117">
        <v>40</v>
      </c>
      <c r="N58" s="219">
        <f t="shared" si="13"/>
        <v>882.77904757239912</v>
      </c>
    </row>
    <row r="59" spans="1:14" x14ac:dyDescent="0.25">
      <c r="A59" s="229">
        <v>13</v>
      </c>
      <c r="B59" s="230" t="s">
        <v>164</v>
      </c>
      <c r="C59" s="229" t="s">
        <v>103</v>
      </c>
      <c r="D59" s="229">
        <v>4.21</v>
      </c>
      <c r="E59" s="117">
        <v>17697</v>
      </c>
      <c r="F59" s="117">
        <f t="shared" si="9"/>
        <v>150498.82739999998</v>
      </c>
      <c r="G59" s="231"/>
      <c r="H59" s="117">
        <f>E59*80%</f>
        <v>14157.6</v>
      </c>
      <c r="I59" s="117">
        <f t="shared" si="10"/>
        <v>15049.882739999999</v>
      </c>
      <c r="J59" s="117">
        <f t="shared" si="8"/>
        <v>179706.31013999999</v>
      </c>
      <c r="K59" s="117">
        <f t="shared" si="11"/>
        <v>1100.2651695340719</v>
      </c>
      <c r="L59" s="117">
        <f t="shared" si="12"/>
        <v>18.337752825567865</v>
      </c>
      <c r="M59" s="117">
        <v>40</v>
      </c>
      <c r="N59" s="219">
        <f t="shared" si="13"/>
        <v>733.51011302271456</v>
      </c>
    </row>
    <row r="60" spans="1:14" x14ac:dyDescent="0.25">
      <c r="A60" s="229">
        <v>14</v>
      </c>
      <c r="B60" s="230" t="s">
        <v>165</v>
      </c>
      <c r="C60" s="229" t="s">
        <v>105</v>
      </c>
      <c r="D60" s="229">
        <v>5.75</v>
      </c>
      <c r="E60" s="117">
        <v>17697</v>
      </c>
      <c r="F60" s="117">
        <f t="shared" si="9"/>
        <v>205550.655</v>
      </c>
      <c r="G60" s="231"/>
      <c r="H60" s="117"/>
      <c r="I60" s="117">
        <f t="shared" si="10"/>
        <v>20555.065500000001</v>
      </c>
      <c r="J60" s="117">
        <f t="shared" si="8"/>
        <v>226105.7205</v>
      </c>
      <c r="K60" s="117">
        <f t="shared" si="11"/>
        <v>1384.3489897753013</v>
      </c>
      <c r="L60" s="117">
        <f t="shared" si="12"/>
        <v>23.072483162921689</v>
      </c>
      <c r="M60" s="117">
        <v>40</v>
      </c>
      <c r="N60" s="219">
        <f t="shared" si="13"/>
        <v>922.89932651686752</v>
      </c>
    </row>
    <row r="61" spans="1:14" x14ac:dyDescent="0.25">
      <c r="A61" s="229">
        <v>15</v>
      </c>
      <c r="B61" s="230" t="s">
        <v>166</v>
      </c>
      <c r="C61" s="229" t="s">
        <v>105</v>
      </c>
      <c r="D61" s="229">
        <v>5.75</v>
      </c>
      <c r="E61" s="117">
        <v>17697</v>
      </c>
      <c r="F61" s="117">
        <f t="shared" si="9"/>
        <v>205550.655</v>
      </c>
      <c r="G61" s="231"/>
      <c r="H61" s="117"/>
      <c r="I61" s="117">
        <f t="shared" si="10"/>
        <v>20555.065500000001</v>
      </c>
      <c r="J61" s="117">
        <f t="shared" si="8"/>
        <v>226105.7205</v>
      </c>
      <c r="K61" s="117">
        <f t="shared" si="11"/>
        <v>1384.3489897753013</v>
      </c>
      <c r="L61" s="117">
        <f t="shared" si="12"/>
        <v>23.072483162921689</v>
      </c>
      <c r="M61" s="117">
        <v>40</v>
      </c>
      <c r="N61" s="219">
        <f t="shared" si="13"/>
        <v>922.89932651686752</v>
      </c>
    </row>
    <row r="62" spans="1:14" x14ac:dyDescent="0.25">
      <c r="A62" s="229">
        <v>16</v>
      </c>
      <c r="B62" s="230" t="s">
        <v>167</v>
      </c>
      <c r="C62" s="229" t="s">
        <v>103</v>
      </c>
      <c r="D62" s="229">
        <v>4.3</v>
      </c>
      <c r="E62" s="117">
        <v>17697</v>
      </c>
      <c r="F62" s="117">
        <f t="shared" si="9"/>
        <v>153716.14199999999</v>
      </c>
      <c r="G62" s="231"/>
      <c r="H62" s="117"/>
      <c r="I62" s="117">
        <f t="shared" si="10"/>
        <v>15371.6142</v>
      </c>
      <c r="J62" s="117">
        <f t="shared" si="8"/>
        <v>169087.7562</v>
      </c>
      <c r="K62" s="117">
        <f t="shared" si="11"/>
        <v>1035.2522880058775</v>
      </c>
      <c r="L62" s="117">
        <f t="shared" si="12"/>
        <v>17.254204800097959</v>
      </c>
      <c r="M62" s="117">
        <v>40</v>
      </c>
      <c r="N62" s="219">
        <f t="shared" si="13"/>
        <v>690.16819200391842</v>
      </c>
    </row>
    <row r="63" spans="1:14" x14ac:dyDescent="0.25">
      <c r="A63" s="229">
        <v>17</v>
      </c>
      <c r="B63" s="230" t="s">
        <v>168</v>
      </c>
      <c r="C63" s="229" t="s">
        <v>103</v>
      </c>
      <c r="D63" s="229">
        <v>4.4000000000000004</v>
      </c>
      <c r="E63" s="117">
        <v>17697</v>
      </c>
      <c r="F63" s="117">
        <f t="shared" si="9"/>
        <v>157290.93600000002</v>
      </c>
      <c r="G63" s="231"/>
      <c r="H63" s="117"/>
      <c r="I63" s="117">
        <f t="shared" si="10"/>
        <v>15729.093600000002</v>
      </c>
      <c r="J63" s="117">
        <f t="shared" si="8"/>
        <v>173020.02960000001</v>
      </c>
      <c r="K63" s="117">
        <f t="shared" si="11"/>
        <v>1059.3279226106656</v>
      </c>
      <c r="L63" s="117">
        <f t="shared" si="12"/>
        <v>17.655465376844425</v>
      </c>
      <c r="M63" s="117">
        <v>40</v>
      </c>
      <c r="N63" s="219">
        <f t="shared" si="13"/>
        <v>706.21861507377707</v>
      </c>
    </row>
    <row r="64" spans="1:14" s="226" customFormat="1" x14ac:dyDescent="0.25">
      <c r="A64" s="229">
        <v>18</v>
      </c>
      <c r="B64" s="230" t="s">
        <v>169</v>
      </c>
      <c r="C64" s="229" t="s">
        <v>106</v>
      </c>
      <c r="D64" s="229">
        <v>4.4000000000000004</v>
      </c>
      <c r="E64" s="117">
        <v>17697</v>
      </c>
      <c r="F64" s="117">
        <f>D64*E64*1.63</f>
        <v>126922.88399999999</v>
      </c>
      <c r="G64" s="231"/>
      <c r="H64" s="117">
        <f>E64*100%</f>
        <v>17697</v>
      </c>
      <c r="I64" s="117">
        <f>F64*10%</f>
        <v>12692.288399999999</v>
      </c>
      <c r="J64" s="117">
        <f>F64+G64+H64+I64</f>
        <v>157312.17239999998</v>
      </c>
      <c r="K64" s="117">
        <f>J64/163.33</f>
        <v>963.15540562052263</v>
      </c>
      <c r="L64" s="117">
        <f>K64/60</f>
        <v>16.052590093675377</v>
      </c>
      <c r="M64" s="117">
        <v>40</v>
      </c>
      <c r="N64" s="219">
        <f>L64*M64</f>
        <v>642.10360374701509</v>
      </c>
    </row>
    <row r="65" spans="1:14" s="226" customFormat="1" x14ac:dyDescent="0.25">
      <c r="A65" s="229">
        <v>19</v>
      </c>
      <c r="B65" s="230" t="s">
        <v>170</v>
      </c>
      <c r="C65" s="229" t="s">
        <v>192</v>
      </c>
      <c r="D65" s="229">
        <v>4.0599999999999996</v>
      </c>
      <c r="E65" s="117">
        <v>17697</v>
      </c>
      <c r="F65" s="117">
        <f t="shared" ref="F65:F80" si="14">D65*E65*1.63</f>
        <v>117115.20659999998</v>
      </c>
      <c r="G65" s="231"/>
      <c r="H65" s="117">
        <f>E65*100%</f>
        <v>17697</v>
      </c>
      <c r="I65" s="117">
        <f t="shared" ref="I65:I83" si="15">F65*10%</f>
        <v>11711.520659999998</v>
      </c>
      <c r="J65" s="117">
        <f t="shared" ref="J65:J83" si="16">F65+G65+H65+I65</f>
        <v>146523.72725999999</v>
      </c>
      <c r="K65" s="117">
        <f t="shared" si="11"/>
        <v>897.10235266025825</v>
      </c>
      <c r="L65" s="117">
        <f t="shared" si="12"/>
        <v>14.951705877670971</v>
      </c>
      <c r="M65" s="117">
        <v>40</v>
      </c>
      <c r="N65" s="219">
        <f t="shared" ref="N65:N83" si="17">L65*M65</f>
        <v>598.06823510683887</v>
      </c>
    </row>
    <row r="66" spans="1:14" s="226" customFormat="1" x14ac:dyDescent="0.25">
      <c r="A66" s="229">
        <v>20</v>
      </c>
      <c r="B66" s="230" t="s">
        <v>171</v>
      </c>
      <c r="C66" s="229" t="s">
        <v>106</v>
      </c>
      <c r="D66" s="229">
        <v>4.53</v>
      </c>
      <c r="E66" s="117">
        <v>17697</v>
      </c>
      <c r="F66" s="117">
        <f t="shared" si="14"/>
        <v>130672.8783</v>
      </c>
      <c r="G66" s="231"/>
      <c r="H66" s="117">
        <f>E66*50%</f>
        <v>8848.5</v>
      </c>
      <c r="I66" s="117">
        <f t="shared" si="15"/>
        <v>13067.287830000001</v>
      </c>
      <c r="J66" s="117">
        <f t="shared" si="16"/>
        <v>152588.66612999997</v>
      </c>
      <c r="K66" s="117">
        <f t="shared" si="11"/>
        <v>934.23538927325023</v>
      </c>
      <c r="L66" s="117">
        <f t="shared" si="12"/>
        <v>15.570589821220837</v>
      </c>
      <c r="M66" s="117">
        <v>40</v>
      </c>
      <c r="N66" s="219">
        <f t="shared" si="17"/>
        <v>622.82359284883353</v>
      </c>
    </row>
    <row r="67" spans="1:14" s="226" customFormat="1" x14ac:dyDescent="0.25">
      <c r="A67" s="229">
        <v>21</v>
      </c>
      <c r="B67" s="230" t="s">
        <v>172</v>
      </c>
      <c r="C67" s="229" t="s">
        <v>104</v>
      </c>
      <c r="D67" s="229">
        <v>3.57</v>
      </c>
      <c r="E67" s="117">
        <v>17697</v>
      </c>
      <c r="F67" s="117">
        <f t="shared" si="14"/>
        <v>102980.61269999998</v>
      </c>
      <c r="G67" s="231"/>
      <c r="H67" s="117">
        <f>E67*50%</f>
        <v>8848.5</v>
      </c>
      <c r="I67" s="117">
        <f t="shared" si="15"/>
        <v>10298.061269999998</v>
      </c>
      <c r="J67" s="117">
        <f t="shared" si="16"/>
        <v>122127.17396999997</v>
      </c>
      <c r="K67" s="117">
        <f t="shared" si="11"/>
        <v>747.73265150309169</v>
      </c>
      <c r="L67" s="117">
        <f t="shared" si="12"/>
        <v>12.462210858384861</v>
      </c>
      <c r="M67" s="117">
        <v>40</v>
      </c>
      <c r="N67" s="219">
        <f t="shared" si="17"/>
        <v>498.48843433539446</v>
      </c>
    </row>
    <row r="68" spans="1:14" s="226" customFormat="1" x14ac:dyDescent="0.25">
      <c r="A68" s="229">
        <v>22</v>
      </c>
      <c r="B68" s="230" t="s">
        <v>173</v>
      </c>
      <c r="C68" s="229" t="s">
        <v>104</v>
      </c>
      <c r="D68" s="229">
        <v>4.0599999999999996</v>
      </c>
      <c r="E68" s="117">
        <v>17697</v>
      </c>
      <c r="F68" s="117">
        <f t="shared" si="14"/>
        <v>117115.20659999998</v>
      </c>
      <c r="G68" s="231"/>
      <c r="H68" s="117"/>
      <c r="I68" s="117">
        <f t="shared" si="15"/>
        <v>11711.520659999998</v>
      </c>
      <c r="J68" s="117">
        <f t="shared" si="16"/>
        <v>128826.72725999997</v>
      </c>
      <c r="K68" s="117">
        <f t="shared" si="11"/>
        <v>788.75116181962869</v>
      </c>
      <c r="L68" s="117">
        <f t="shared" si="12"/>
        <v>13.145852696993812</v>
      </c>
      <c r="M68" s="117">
        <v>40</v>
      </c>
      <c r="N68" s="219">
        <f t="shared" si="17"/>
        <v>525.83410787975242</v>
      </c>
    </row>
    <row r="69" spans="1:14" s="226" customFormat="1" x14ac:dyDescent="0.25">
      <c r="A69" s="229">
        <v>23</v>
      </c>
      <c r="B69" s="230" t="s">
        <v>174</v>
      </c>
      <c r="C69" s="229" t="s">
        <v>104</v>
      </c>
      <c r="D69" s="229">
        <v>3.32</v>
      </c>
      <c r="E69" s="117">
        <v>17697</v>
      </c>
      <c r="F69" s="117">
        <f t="shared" si="14"/>
        <v>95769.085199999987</v>
      </c>
      <c r="G69" s="231"/>
      <c r="H69" s="117">
        <f>E69*50%</f>
        <v>8848.5</v>
      </c>
      <c r="I69" s="117">
        <f t="shared" si="15"/>
        <v>9576.908519999999</v>
      </c>
      <c r="J69" s="117">
        <f t="shared" si="16"/>
        <v>114194.49371999998</v>
      </c>
      <c r="K69" s="117">
        <f t="shared" si="11"/>
        <v>699.1642302087796</v>
      </c>
      <c r="L69" s="117">
        <f t="shared" si="12"/>
        <v>11.652737170146327</v>
      </c>
      <c r="M69" s="117">
        <v>40</v>
      </c>
      <c r="N69" s="219">
        <f t="shared" si="17"/>
        <v>466.10948680585307</v>
      </c>
    </row>
    <row r="70" spans="1:14" s="226" customFormat="1" x14ac:dyDescent="0.25">
      <c r="A70" s="229">
        <v>24</v>
      </c>
      <c r="B70" s="230" t="s">
        <v>175</v>
      </c>
      <c r="C70" s="229" t="s">
        <v>106</v>
      </c>
      <c r="D70" s="229">
        <v>4.53</v>
      </c>
      <c r="E70" s="117">
        <v>17697</v>
      </c>
      <c r="F70" s="117">
        <f t="shared" si="14"/>
        <v>130672.8783</v>
      </c>
      <c r="G70" s="231"/>
      <c r="H70" s="117"/>
      <c r="I70" s="117">
        <f t="shared" si="15"/>
        <v>13067.287830000001</v>
      </c>
      <c r="J70" s="117">
        <f t="shared" si="16"/>
        <v>143740.16613</v>
      </c>
      <c r="K70" s="117">
        <f t="shared" si="11"/>
        <v>880.05979385293574</v>
      </c>
      <c r="L70" s="117">
        <f t="shared" si="12"/>
        <v>14.667663230882262</v>
      </c>
      <c r="M70" s="117">
        <v>40</v>
      </c>
      <c r="N70" s="219">
        <f t="shared" si="17"/>
        <v>586.70652923529042</v>
      </c>
    </row>
    <row r="71" spans="1:14" s="226" customFormat="1" x14ac:dyDescent="0.25">
      <c r="A71" s="229">
        <v>25</v>
      </c>
      <c r="B71" s="230" t="s">
        <v>176</v>
      </c>
      <c r="C71" s="229" t="s">
        <v>106</v>
      </c>
      <c r="D71" s="229">
        <v>4.53</v>
      </c>
      <c r="E71" s="117">
        <v>17697</v>
      </c>
      <c r="F71" s="117">
        <f t="shared" si="14"/>
        <v>130672.8783</v>
      </c>
      <c r="G71" s="231">
        <f>E71*20%</f>
        <v>3539.4</v>
      </c>
      <c r="H71" s="117"/>
      <c r="I71" s="117">
        <f t="shared" si="15"/>
        <v>13067.287830000001</v>
      </c>
      <c r="J71" s="117">
        <f t="shared" si="16"/>
        <v>147279.56612999999</v>
      </c>
      <c r="K71" s="117">
        <f t="shared" si="11"/>
        <v>901.73003202106156</v>
      </c>
      <c r="L71" s="117">
        <f t="shared" si="12"/>
        <v>15.028833867017692</v>
      </c>
      <c r="M71" s="117">
        <v>40</v>
      </c>
      <c r="N71" s="219">
        <f t="shared" si="17"/>
        <v>601.15335468070771</v>
      </c>
    </row>
    <row r="72" spans="1:14" s="226" customFormat="1" x14ac:dyDescent="0.25">
      <c r="A72" s="229">
        <v>26</v>
      </c>
      <c r="B72" s="230" t="s">
        <v>177</v>
      </c>
      <c r="C72" s="229" t="s">
        <v>104</v>
      </c>
      <c r="D72" s="229">
        <v>3.49</v>
      </c>
      <c r="E72" s="117">
        <v>17697</v>
      </c>
      <c r="F72" s="117">
        <f t="shared" si="14"/>
        <v>100672.92390000001</v>
      </c>
      <c r="G72" s="231"/>
      <c r="H72" s="117">
        <f t="shared" ref="H72:H76" si="18">E72*50%</f>
        <v>8848.5</v>
      </c>
      <c r="I72" s="117">
        <f t="shared" si="15"/>
        <v>10067.292390000002</v>
      </c>
      <c r="J72" s="117">
        <f t="shared" si="16"/>
        <v>119588.71629000001</v>
      </c>
      <c r="K72" s="117">
        <f t="shared" si="11"/>
        <v>732.19075668891207</v>
      </c>
      <c r="L72" s="117">
        <f t="shared" si="12"/>
        <v>12.203179278148534</v>
      </c>
      <c r="M72" s="117">
        <v>40</v>
      </c>
      <c r="N72" s="219">
        <f t="shared" si="17"/>
        <v>488.12717112594135</v>
      </c>
    </row>
    <row r="73" spans="1:14" s="226" customFormat="1" x14ac:dyDescent="0.25">
      <c r="A73" s="229">
        <v>27</v>
      </c>
      <c r="B73" s="230" t="s">
        <v>178</v>
      </c>
      <c r="C73" s="229" t="s">
        <v>106</v>
      </c>
      <c r="D73" s="229">
        <v>4.53</v>
      </c>
      <c r="E73" s="117">
        <v>17697</v>
      </c>
      <c r="F73" s="117">
        <f t="shared" si="14"/>
        <v>130672.8783</v>
      </c>
      <c r="G73" s="231"/>
      <c r="H73" s="117">
        <f t="shared" si="18"/>
        <v>8848.5</v>
      </c>
      <c r="I73" s="117">
        <f t="shared" si="15"/>
        <v>13067.287830000001</v>
      </c>
      <c r="J73" s="117">
        <f t="shared" si="16"/>
        <v>152588.66612999997</v>
      </c>
      <c r="K73" s="117">
        <f t="shared" si="11"/>
        <v>934.23538927325023</v>
      </c>
      <c r="L73" s="117">
        <f t="shared" si="12"/>
        <v>15.570589821220837</v>
      </c>
      <c r="M73" s="117">
        <v>40</v>
      </c>
      <c r="N73" s="219">
        <f t="shared" si="17"/>
        <v>622.82359284883353</v>
      </c>
    </row>
    <row r="74" spans="1:14" s="226" customFormat="1" x14ac:dyDescent="0.25">
      <c r="A74" s="229">
        <v>28</v>
      </c>
      <c r="B74" s="230" t="s">
        <v>179</v>
      </c>
      <c r="C74" s="229" t="s">
        <v>106</v>
      </c>
      <c r="D74" s="229">
        <v>4.53</v>
      </c>
      <c r="E74" s="117">
        <v>17697</v>
      </c>
      <c r="F74" s="117">
        <f t="shared" si="14"/>
        <v>130672.8783</v>
      </c>
      <c r="G74" s="231"/>
      <c r="H74" s="117">
        <f t="shared" si="18"/>
        <v>8848.5</v>
      </c>
      <c r="I74" s="117">
        <f t="shared" si="15"/>
        <v>13067.287830000001</v>
      </c>
      <c r="J74" s="117">
        <f t="shared" si="16"/>
        <v>152588.66612999997</v>
      </c>
      <c r="K74" s="117">
        <f t="shared" si="11"/>
        <v>934.23538927325023</v>
      </c>
      <c r="L74" s="117">
        <f t="shared" si="12"/>
        <v>15.570589821220837</v>
      </c>
      <c r="M74" s="117">
        <v>40</v>
      </c>
      <c r="N74" s="219">
        <f t="shared" si="17"/>
        <v>622.82359284883353</v>
      </c>
    </row>
    <row r="75" spans="1:14" s="226" customFormat="1" x14ac:dyDescent="0.25">
      <c r="A75" s="229">
        <v>29</v>
      </c>
      <c r="B75" s="230" t="s">
        <v>180</v>
      </c>
      <c r="C75" s="229" t="s">
        <v>106</v>
      </c>
      <c r="D75" s="229">
        <v>4.53</v>
      </c>
      <c r="E75" s="117">
        <v>17697</v>
      </c>
      <c r="F75" s="117">
        <f t="shared" si="14"/>
        <v>130672.8783</v>
      </c>
      <c r="G75" s="231"/>
      <c r="H75" s="117">
        <f t="shared" si="18"/>
        <v>8848.5</v>
      </c>
      <c r="I75" s="117">
        <f t="shared" si="15"/>
        <v>13067.287830000001</v>
      </c>
      <c r="J75" s="117">
        <f t="shared" si="16"/>
        <v>152588.66612999997</v>
      </c>
      <c r="K75" s="117">
        <f t="shared" si="11"/>
        <v>934.23538927325023</v>
      </c>
      <c r="L75" s="117">
        <f t="shared" si="12"/>
        <v>15.570589821220837</v>
      </c>
      <c r="M75" s="117">
        <v>40</v>
      </c>
      <c r="N75" s="219">
        <f t="shared" si="17"/>
        <v>622.82359284883353</v>
      </c>
    </row>
    <row r="76" spans="1:14" s="226" customFormat="1" x14ac:dyDescent="0.25">
      <c r="A76" s="229">
        <v>30</v>
      </c>
      <c r="B76" s="230" t="s">
        <v>181</v>
      </c>
      <c r="C76" s="229" t="s">
        <v>106</v>
      </c>
      <c r="D76" s="229">
        <v>4.53</v>
      </c>
      <c r="E76" s="117">
        <v>17697</v>
      </c>
      <c r="F76" s="117">
        <f t="shared" si="14"/>
        <v>130672.8783</v>
      </c>
      <c r="G76" s="231"/>
      <c r="H76" s="117">
        <f t="shared" si="18"/>
        <v>8848.5</v>
      </c>
      <c r="I76" s="117">
        <f t="shared" si="15"/>
        <v>13067.287830000001</v>
      </c>
      <c r="J76" s="117">
        <f t="shared" si="16"/>
        <v>152588.66612999997</v>
      </c>
      <c r="K76" s="117">
        <f t="shared" si="11"/>
        <v>934.23538927325023</v>
      </c>
      <c r="L76" s="117">
        <f t="shared" si="12"/>
        <v>15.570589821220837</v>
      </c>
      <c r="M76" s="117">
        <v>40</v>
      </c>
      <c r="N76" s="219">
        <f t="shared" si="17"/>
        <v>622.82359284883353</v>
      </c>
    </row>
    <row r="77" spans="1:14" s="226" customFormat="1" ht="18.75" customHeight="1" x14ac:dyDescent="0.25">
      <c r="A77" s="229">
        <v>31</v>
      </c>
      <c r="B77" s="230" t="s">
        <v>182</v>
      </c>
      <c r="C77" s="229" t="s">
        <v>104</v>
      </c>
      <c r="D77" s="229">
        <v>3.32</v>
      </c>
      <c r="E77" s="117">
        <v>17697</v>
      </c>
      <c r="F77" s="117">
        <f t="shared" si="14"/>
        <v>95769.085199999987</v>
      </c>
      <c r="G77" s="231"/>
      <c r="H77" s="117"/>
      <c r="I77" s="117">
        <f t="shared" si="15"/>
        <v>9576.908519999999</v>
      </c>
      <c r="J77" s="117">
        <f t="shared" si="16"/>
        <v>105345.99371999998</v>
      </c>
      <c r="K77" s="117">
        <f t="shared" si="11"/>
        <v>644.98863478846488</v>
      </c>
      <c r="L77" s="117">
        <f t="shared" si="12"/>
        <v>10.749810579807749</v>
      </c>
      <c r="M77" s="117">
        <v>40</v>
      </c>
      <c r="N77" s="219">
        <f t="shared" si="17"/>
        <v>429.99242319230996</v>
      </c>
    </row>
    <row r="78" spans="1:14" s="226" customFormat="1" x14ac:dyDescent="0.25">
      <c r="A78" s="229">
        <v>32</v>
      </c>
      <c r="B78" s="230" t="s">
        <v>183</v>
      </c>
      <c r="C78" s="229" t="s">
        <v>104</v>
      </c>
      <c r="D78" s="229">
        <v>3.32</v>
      </c>
      <c r="E78" s="117">
        <v>17697</v>
      </c>
      <c r="F78" s="117">
        <f t="shared" si="14"/>
        <v>95769.085199999987</v>
      </c>
      <c r="G78" s="231"/>
      <c r="H78" s="117"/>
      <c r="I78" s="117">
        <f t="shared" si="15"/>
        <v>9576.908519999999</v>
      </c>
      <c r="J78" s="117">
        <f t="shared" si="16"/>
        <v>105345.99371999998</v>
      </c>
      <c r="K78" s="117">
        <f t="shared" si="11"/>
        <v>644.98863478846488</v>
      </c>
      <c r="L78" s="117">
        <f t="shared" si="12"/>
        <v>10.749810579807749</v>
      </c>
      <c r="M78" s="117">
        <v>40</v>
      </c>
      <c r="N78" s="219">
        <f t="shared" si="17"/>
        <v>429.99242319230996</v>
      </c>
    </row>
    <row r="79" spans="1:14" s="226" customFormat="1" x14ac:dyDescent="0.25">
      <c r="A79" s="229">
        <v>33</v>
      </c>
      <c r="B79" s="230" t="s">
        <v>184</v>
      </c>
      <c r="C79" s="229" t="s">
        <v>104</v>
      </c>
      <c r="D79" s="229">
        <v>3.45</v>
      </c>
      <c r="E79" s="117">
        <v>17697</v>
      </c>
      <c r="F79" s="117">
        <f t="shared" si="14"/>
        <v>99519.079499999993</v>
      </c>
      <c r="G79" s="231"/>
      <c r="H79" s="117"/>
      <c r="I79" s="117">
        <f t="shared" si="15"/>
        <v>9951.9079500000007</v>
      </c>
      <c r="J79" s="117">
        <f t="shared" si="16"/>
        <v>109470.98744999999</v>
      </c>
      <c r="K79" s="117">
        <f t="shared" si="11"/>
        <v>670.24421386150721</v>
      </c>
      <c r="L79" s="117">
        <f t="shared" si="12"/>
        <v>11.170736897691787</v>
      </c>
      <c r="M79" s="117">
        <v>40</v>
      </c>
      <c r="N79" s="219">
        <f t="shared" si="17"/>
        <v>446.82947590767151</v>
      </c>
    </row>
    <row r="80" spans="1:14" s="226" customFormat="1" x14ac:dyDescent="0.25">
      <c r="A80" s="229">
        <v>34</v>
      </c>
      <c r="B80" s="230" t="s">
        <v>185</v>
      </c>
      <c r="C80" s="229" t="s">
        <v>104</v>
      </c>
      <c r="D80" s="229">
        <v>3.45</v>
      </c>
      <c r="E80" s="117">
        <v>17697</v>
      </c>
      <c r="F80" s="117">
        <f t="shared" si="14"/>
        <v>99519.079499999993</v>
      </c>
      <c r="G80" s="231"/>
      <c r="H80" s="117"/>
      <c r="I80" s="117">
        <f t="shared" si="15"/>
        <v>9951.9079500000007</v>
      </c>
      <c r="J80" s="117">
        <f t="shared" si="16"/>
        <v>109470.98744999999</v>
      </c>
      <c r="K80" s="117">
        <f t="shared" si="11"/>
        <v>670.24421386150721</v>
      </c>
      <c r="L80" s="117">
        <f t="shared" si="12"/>
        <v>11.170736897691787</v>
      </c>
      <c r="M80" s="117">
        <v>40</v>
      </c>
      <c r="N80" s="219">
        <f t="shared" si="17"/>
        <v>446.82947590767151</v>
      </c>
    </row>
    <row r="81" spans="1:14" x14ac:dyDescent="0.25">
      <c r="A81" s="229">
        <v>32</v>
      </c>
      <c r="B81" s="230" t="s">
        <v>186</v>
      </c>
      <c r="C81" s="229" t="s">
        <v>103</v>
      </c>
      <c r="D81" s="229">
        <v>2.89</v>
      </c>
      <c r="E81" s="117">
        <v>17697</v>
      </c>
      <c r="F81" s="117">
        <f t="shared" ref="F81:F83" si="19">D81*E81</f>
        <v>51144.33</v>
      </c>
      <c r="G81" s="231"/>
      <c r="H81" s="117"/>
      <c r="I81" s="117">
        <f t="shared" si="15"/>
        <v>5114.4330000000009</v>
      </c>
      <c r="J81" s="117">
        <f t="shared" si="16"/>
        <v>56258.763000000006</v>
      </c>
      <c r="K81" s="117">
        <f t="shared" si="11"/>
        <v>344.44843568236087</v>
      </c>
      <c r="L81" s="117">
        <f t="shared" si="12"/>
        <v>5.740807261372681</v>
      </c>
      <c r="M81" s="117">
        <v>40</v>
      </c>
      <c r="N81" s="219">
        <f t="shared" si="17"/>
        <v>229.63229045490723</v>
      </c>
    </row>
    <row r="82" spans="1:14" x14ac:dyDescent="0.25">
      <c r="A82" s="229">
        <v>33</v>
      </c>
      <c r="B82" s="230" t="s">
        <v>186</v>
      </c>
      <c r="C82" s="229" t="s">
        <v>103</v>
      </c>
      <c r="D82" s="229">
        <v>2.89</v>
      </c>
      <c r="E82" s="117">
        <v>17697</v>
      </c>
      <c r="F82" s="117">
        <f t="shared" si="19"/>
        <v>51144.33</v>
      </c>
      <c r="G82" s="231"/>
      <c r="H82" s="117"/>
      <c r="I82" s="117">
        <f t="shared" si="15"/>
        <v>5114.4330000000009</v>
      </c>
      <c r="J82" s="117">
        <f t="shared" si="16"/>
        <v>56258.763000000006</v>
      </c>
      <c r="K82" s="117">
        <f t="shared" si="11"/>
        <v>344.44843568236087</v>
      </c>
      <c r="L82" s="117">
        <f t="shared" si="12"/>
        <v>5.740807261372681</v>
      </c>
      <c r="M82" s="117">
        <v>40</v>
      </c>
      <c r="N82" s="219">
        <f t="shared" si="17"/>
        <v>229.63229045490723</v>
      </c>
    </row>
    <row r="83" spans="1:14" x14ac:dyDescent="0.25">
      <c r="A83" s="229">
        <v>34</v>
      </c>
      <c r="B83" s="230" t="s">
        <v>186</v>
      </c>
      <c r="C83" s="229" t="s">
        <v>103</v>
      </c>
      <c r="D83" s="229">
        <v>2.89</v>
      </c>
      <c r="E83" s="117">
        <v>17697</v>
      </c>
      <c r="F83" s="117">
        <f t="shared" si="19"/>
        <v>51144.33</v>
      </c>
      <c r="G83" s="231"/>
      <c r="H83" s="117"/>
      <c r="I83" s="117">
        <f t="shared" si="15"/>
        <v>5114.4330000000009</v>
      </c>
      <c r="J83" s="117">
        <f t="shared" si="16"/>
        <v>56258.763000000006</v>
      </c>
      <c r="K83" s="117">
        <f t="shared" si="11"/>
        <v>344.44843568236087</v>
      </c>
      <c r="L83" s="117">
        <f t="shared" si="12"/>
        <v>5.740807261372681</v>
      </c>
      <c r="M83" s="117">
        <v>40</v>
      </c>
      <c r="N83" s="219">
        <f t="shared" si="17"/>
        <v>229.63229045490723</v>
      </c>
    </row>
    <row r="85" spans="1:14" ht="19.5" thickBot="1" x14ac:dyDescent="0.3">
      <c r="A85" s="322" t="s">
        <v>16</v>
      </c>
      <c r="B85" s="322"/>
      <c r="C85" s="322"/>
      <c r="D85" s="322"/>
      <c r="E85" s="322"/>
      <c r="F85" s="322"/>
      <c r="G85" s="322"/>
      <c r="H85" s="322"/>
      <c r="I85" s="322"/>
      <c r="J85" s="322"/>
      <c r="K85" s="322"/>
      <c r="L85" s="322"/>
      <c r="M85" s="322"/>
      <c r="N85" s="322"/>
    </row>
    <row r="86" spans="1:14" ht="77.25" thickBot="1" x14ac:dyDescent="0.3">
      <c r="A86" s="3" t="s">
        <v>7</v>
      </c>
      <c r="B86" s="4" t="s">
        <v>55</v>
      </c>
      <c r="C86" s="5" t="s">
        <v>56</v>
      </c>
      <c r="D86" s="6" t="s">
        <v>57</v>
      </c>
      <c r="E86" s="4" t="s">
        <v>58</v>
      </c>
      <c r="F86" s="7" t="s">
        <v>59</v>
      </c>
      <c r="G86" s="8" t="s">
        <v>60</v>
      </c>
      <c r="H86" s="4" t="s">
        <v>61</v>
      </c>
      <c r="I86" s="4" t="s">
        <v>62</v>
      </c>
      <c r="J86" s="9" t="s">
        <v>63</v>
      </c>
      <c r="K86" s="10" t="s">
        <v>64</v>
      </c>
      <c r="L86" s="11" t="s">
        <v>65</v>
      </c>
    </row>
    <row r="87" spans="1:14" x14ac:dyDescent="0.25">
      <c r="A87" s="124"/>
      <c r="B87" s="125"/>
      <c r="C87" s="91"/>
      <c r="D87" s="92"/>
      <c r="E87" s="93"/>
      <c r="F87" s="93"/>
      <c r="G87" s="136"/>
      <c r="H87" s="93"/>
      <c r="I87" s="93"/>
      <c r="J87" s="93"/>
      <c r="K87" s="93"/>
      <c r="L87" s="126"/>
    </row>
    <row r="88" spans="1:14" x14ac:dyDescent="0.25">
      <c r="E88" s="141"/>
    </row>
    <row r="89" spans="1:14" ht="18.75" x14ac:dyDescent="0.3">
      <c r="B89" s="130"/>
      <c r="C89" s="131"/>
      <c r="D89" s="132"/>
      <c r="E89" s="141"/>
      <c r="G89" s="133"/>
      <c r="H89" s="134"/>
      <c r="J89" s="127"/>
      <c r="K89" s="128"/>
    </row>
    <row r="90" spans="1:14" ht="18.75" x14ac:dyDescent="0.3">
      <c r="B90" s="143" t="s">
        <v>67</v>
      </c>
      <c r="C90" s="143" t="s">
        <v>68</v>
      </c>
      <c r="D90" s="144"/>
      <c r="E90" s="142" t="s">
        <v>69</v>
      </c>
      <c r="F90" s="135"/>
      <c r="G90" s="133"/>
      <c r="H90" s="134"/>
      <c r="J90" s="127"/>
      <c r="K90" s="128"/>
    </row>
    <row r="91" spans="1:14" ht="18.75" x14ac:dyDescent="0.3">
      <c r="B91" s="145"/>
      <c r="C91" s="143"/>
      <c r="D91" s="144"/>
      <c r="E91" s="142"/>
      <c r="F91" s="135"/>
      <c r="G91" s="133"/>
      <c r="H91" s="134"/>
      <c r="J91" s="127"/>
      <c r="K91" s="128"/>
    </row>
    <row r="92" spans="1:14" ht="18.75" x14ac:dyDescent="0.3">
      <c r="B92" s="145" t="s">
        <v>70</v>
      </c>
      <c r="C92" s="143" t="s">
        <v>68</v>
      </c>
      <c r="D92" s="144"/>
      <c r="E92" s="135" t="s">
        <v>71</v>
      </c>
      <c r="F92" s="144"/>
      <c r="G92" s="133"/>
      <c r="H92" s="134"/>
      <c r="J92" s="127"/>
      <c r="K92" s="128"/>
    </row>
    <row r="93" spans="1:14" ht="15.75" x14ac:dyDescent="0.25">
      <c r="B93" s="145"/>
      <c r="C93" s="135"/>
      <c r="D93" s="135"/>
      <c r="E93" s="135"/>
      <c r="F93" s="135"/>
    </row>
    <row r="94" spans="1:14" ht="15.75" x14ac:dyDescent="0.25">
      <c r="B94" s="135"/>
      <c r="C94" s="143"/>
      <c r="D94" s="135"/>
      <c r="E94" s="135"/>
      <c r="F94" s="135"/>
    </row>
    <row r="95" spans="1:14" ht="15.75" x14ac:dyDescent="0.25">
      <c r="B95" s="135"/>
      <c r="C95" s="129"/>
      <c r="D95" s="129"/>
      <c r="E95" s="129"/>
    </row>
  </sheetData>
  <mergeCells count="41">
    <mergeCell ref="I44:I45"/>
    <mergeCell ref="A85:N85"/>
    <mergeCell ref="G40:I40"/>
    <mergeCell ref="J40:J45"/>
    <mergeCell ref="K40:K45"/>
    <mergeCell ref="L40:L45"/>
    <mergeCell ref="M40:M45"/>
    <mergeCell ref="N40:N45"/>
    <mergeCell ref="G41:G43"/>
    <mergeCell ref="H41:H43"/>
    <mergeCell ref="I41:I43"/>
    <mergeCell ref="G44:G45"/>
    <mergeCell ref="A40:A45"/>
    <mergeCell ref="B40:B45"/>
    <mergeCell ref="C40:C45"/>
    <mergeCell ref="D40:D45"/>
    <mergeCell ref="E40:E45"/>
    <mergeCell ref="F40:F45"/>
    <mergeCell ref="G13:G14"/>
    <mergeCell ref="H13:H14"/>
    <mergeCell ref="H44:H45"/>
    <mergeCell ref="I13:I14"/>
    <mergeCell ref="J13:J14"/>
    <mergeCell ref="A34:N34"/>
    <mergeCell ref="A38:N38"/>
    <mergeCell ref="A9:N9"/>
    <mergeCell ref="A10:N10"/>
    <mergeCell ref="A12:A14"/>
    <mergeCell ref="B12:B14"/>
    <mergeCell ref="C12:H12"/>
    <mergeCell ref="I12:J12"/>
    <mergeCell ref="K12:K14"/>
    <mergeCell ref="L12:L14"/>
    <mergeCell ref="M12:M14"/>
    <mergeCell ref="D13:F13"/>
    <mergeCell ref="A8:N8"/>
    <mergeCell ref="H1:N1"/>
    <mergeCell ref="H2:N2"/>
    <mergeCell ref="H3:N3"/>
    <mergeCell ref="H4:N4"/>
    <mergeCell ref="H5:N5"/>
  </mergeCells>
  <pageMargins left="0" right="0" top="0" bottom="0" header="0.31496062992125984" footer="0.31496062992125984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topLeftCell="A13" zoomScale="60" zoomScaleNormal="100" workbookViewId="0">
      <selection activeCell="M16" sqref="M16"/>
    </sheetView>
  </sheetViews>
  <sheetFormatPr defaultRowHeight="15" x14ac:dyDescent="0.25"/>
  <cols>
    <col min="1" max="1" width="9.140625" style="89"/>
    <col min="2" max="2" width="32.5703125" style="89" customWidth="1"/>
    <col min="3" max="3" width="12.5703125" style="89" customWidth="1"/>
    <col min="4" max="4" width="14.5703125" style="89" customWidth="1"/>
    <col min="5" max="5" width="16.28515625" style="89" bestFit="1" customWidth="1"/>
    <col min="6" max="6" width="14.140625" style="89" bestFit="1" customWidth="1"/>
    <col min="7" max="7" width="11.85546875" style="89" customWidth="1"/>
    <col min="8" max="8" width="12.42578125" style="89" customWidth="1"/>
    <col min="9" max="9" width="9.140625" style="89"/>
    <col min="10" max="10" width="14.7109375" style="89" bestFit="1" customWidth="1"/>
    <col min="11" max="11" width="9.140625" style="89" customWidth="1"/>
    <col min="12" max="12" width="10.42578125" style="89" customWidth="1"/>
    <col min="13" max="13" width="9.85546875" style="89" customWidth="1"/>
    <col min="14" max="14" width="10.5703125" style="89" customWidth="1"/>
    <col min="15" max="16384" width="9.140625" style="89"/>
  </cols>
  <sheetData>
    <row r="1" spans="1:14" ht="18.75" x14ac:dyDescent="0.3">
      <c r="A1" s="94"/>
      <c r="B1" s="95"/>
      <c r="C1" s="96"/>
      <c r="D1" s="96"/>
      <c r="E1" s="94"/>
      <c r="F1" s="94"/>
      <c r="G1" s="96"/>
      <c r="H1" s="392" t="s">
        <v>0</v>
      </c>
      <c r="I1" s="392"/>
      <c r="J1" s="392"/>
      <c r="K1" s="392"/>
      <c r="L1" s="392"/>
      <c r="M1" s="392"/>
      <c r="N1" s="392"/>
    </row>
    <row r="2" spans="1:14" ht="18.75" x14ac:dyDescent="0.3">
      <c r="A2" s="94"/>
      <c r="B2" s="95"/>
      <c r="C2" s="96"/>
      <c r="D2" s="96"/>
      <c r="E2" s="94"/>
      <c r="F2" s="94"/>
      <c r="G2" s="96"/>
      <c r="H2" s="392" t="s">
        <v>1</v>
      </c>
      <c r="I2" s="392"/>
      <c r="J2" s="392"/>
      <c r="K2" s="392"/>
      <c r="L2" s="392"/>
      <c r="M2" s="392"/>
      <c r="N2" s="392"/>
    </row>
    <row r="3" spans="1:14" ht="18.75" x14ac:dyDescent="0.3">
      <c r="A3" s="94"/>
      <c r="B3" s="95"/>
      <c r="C3" s="96"/>
      <c r="D3" s="96"/>
      <c r="E3" s="94"/>
      <c r="F3" s="94"/>
      <c r="G3" s="96"/>
      <c r="H3" s="392" t="s">
        <v>2</v>
      </c>
      <c r="I3" s="392"/>
      <c r="J3" s="392"/>
      <c r="K3" s="392"/>
      <c r="L3" s="392"/>
      <c r="M3" s="392"/>
      <c r="N3" s="392"/>
    </row>
    <row r="4" spans="1:14" ht="18.75" x14ac:dyDescent="0.3">
      <c r="A4" s="94"/>
      <c r="B4" s="95"/>
      <c r="C4" s="96"/>
      <c r="D4" s="96"/>
      <c r="E4" s="94"/>
      <c r="F4" s="94"/>
      <c r="G4" s="96"/>
      <c r="H4" s="392" t="s">
        <v>3</v>
      </c>
      <c r="I4" s="392"/>
      <c r="J4" s="392"/>
      <c r="K4" s="392"/>
      <c r="L4" s="392"/>
      <c r="M4" s="392"/>
      <c r="N4" s="392"/>
    </row>
    <row r="5" spans="1:14" ht="18.75" x14ac:dyDescent="0.3">
      <c r="A5" s="94"/>
      <c r="B5" s="95"/>
      <c r="C5" s="96"/>
      <c r="D5" s="96"/>
      <c r="E5" s="94"/>
      <c r="F5" s="94"/>
      <c r="G5" s="96"/>
      <c r="H5" s="392" t="s">
        <v>112</v>
      </c>
      <c r="I5" s="392"/>
      <c r="J5" s="392"/>
      <c r="K5" s="392"/>
      <c r="L5" s="392"/>
      <c r="M5" s="392"/>
      <c r="N5" s="392"/>
    </row>
    <row r="6" spans="1:14" ht="18.75" x14ac:dyDescent="0.3">
      <c r="A6" s="94"/>
      <c r="B6" s="95"/>
      <c r="C6" s="96"/>
      <c r="D6" s="96"/>
      <c r="E6" s="94"/>
      <c r="F6" s="94"/>
      <c r="G6" s="96"/>
      <c r="H6" s="94"/>
      <c r="I6" s="233"/>
      <c r="J6" s="233"/>
      <c r="K6" s="233"/>
      <c r="L6" s="90"/>
      <c r="M6" s="97"/>
      <c r="N6" s="97"/>
    </row>
    <row r="7" spans="1:14" ht="18.75" x14ac:dyDescent="0.3">
      <c r="A7" s="94"/>
      <c r="B7" s="95"/>
      <c r="C7" s="96"/>
      <c r="D7" s="96"/>
      <c r="E7" s="94"/>
      <c r="F7" s="94"/>
      <c r="G7" s="96"/>
      <c r="H7" s="94"/>
      <c r="I7" s="233"/>
      <c r="J7" s="233"/>
      <c r="K7" s="233"/>
      <c r="L7" s="90"/>
      <c r="M7" s="97"/>
      <c r="N7" s="97"/>
    </row>
    <row r="8" spans="1:14" ht="18.75" x14ac:dyDescent="0.3">
      <c r="A8" s="346" t="s">
        <v>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18.75" x14ac:dyDescent="0.25">
      <c r="A9" s="347" t="s">
        <v>72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</row>
    <row r="10" spans="1:14" ht="18.75" x14ac:dyDescent="0.3">
      <c r="A10" s="346" t="s">
        <v>6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ht="16.5" thickBot="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ht="16.5" customHeight="1" thickBot="1" x14ac:dyDescent="0.3">
      <c r="A12" s="348" t="s">
        <v>7</v>
      </c>
      <c r="B12" s="348" t="s">
        <v>8</v>
      </c>
      <c r="C12" s="351" t="s">
        <v>9</v>
      </c>
      <c r="D12" s="352"/>
      <c r="E12" s="352"/>
      <c r="F12" s="352"/>
      <c r="G12" s="353"/>
      <c r="H12" s="354"/>
      <c r="I12" s="351" t="s">
        <v>10</v>
      </c>
      <c r="J12" s="354"/>
      <c r="K12" s="348" t="s">
        <v>11</v>
      </c>
      <c r="L12" s="355" t="s">
        <v>189</v>
      </c>
      <c r="M12" s="355" t="s">
        <v>13</v>
      </c>
    </row>
    <row r="13" spans="1:14" ht="48" thickBot="1" x14ac:dyDescent="0.3">
      <c r="A13" s="349"/>
      <c r="B13" s="349"/>
      <c r="C13" s="100" t="s">
        <v>14</v>
      </c>
      <c r="D13" s="360" t="s">
        <v>15</v>
      </c>
      <c r="E13" s="361"/>
      <c r="F13" s="362"/>
      <c r="G13" s="363" t="s">
        <v>16</v>
      </c>
      <c r="H13" s="348" t="s">
        <v>17</v>
      </c>
      <c r="I13" s="348" t="s">
        <v>18</v>
      </c>
      <c r="J13" s="348" t="s">
        <v>19</v>
      </c>
      <c r="K13" s="349"/>
      <c r="L13" s="356"/>
      <c r="M13" s="358"/>
    </row>
    <row r="14" spans="1:14" ht="95.25" thickBot="1" x14ac:dyDescent="0.3">
      <c r="A14" s="350"/>
      <c r="B14" s="350"/>
      <c r="C14" s="101" t="s">
        <v>20</v>
      </c>
      <c r="D14" s="102" t="s">
        <v>21</v>
      </c>
      <c r="E14" s="103" t="s">
        <v>22</v>
      </c>
      <c r="F14" s="103" t="s">
        <v>23</v>
      </c>
      <c r="G14" s="364"/>
      <c r="H14" s="350"/>
      <c r="I14" s="350"/>
      <c r="J14" s="350"/>
      <c r="K14" s="350"/>
      <c r="L14" s="357"/>
      <c r="M14" s="359"/>
    </row>
    <row r="15" spans="1:14" ht="15.75" x14ac:dyDescent="0.25">
      <c r="A15" s="23">
        <v>1</v>
      </c>
      <c r="B15" s="24">
        <v>2</v>
      </c>
      <c r="C15" s="25">
        <v>3</v>
      </c>
      <c r="D15" s="25">
        <v>4</v>
      </c>
      <c r="E15" s="26">
        <v>5</v>
      </c>
      <c r="F15" s="26">
        <v>6</v>
      </c>
      <c r="G15" s="25">
        <v>6</v>
      </c>
      <c r="H15" s="26">
        <v>7</v>
      </c>
      <c r="I15" s="26">
        <v>8</v>
      </c>
      <c r="J15" s="26">
        <v>9</v>
      </c>
      <c r="K15" s="26">
        <v>10</v>
      </c>
      <c r="L15" s="27">
        <v>11</v>
      </c>
      <c r="M15" s="28">
        <v>12</v>
      </c>
    </row>
    <row r="16" spans="1:14" ht="49.5" customHeight="1" x14ac:dyDescent="0.25">
      <c r="A16" s="216">
        <v>1</v>
      </c>
      <c r="B16" s="218" t="s">
        <v>197</v>
      </c>
      <c r="C16" s="73">
        <v>0</v>
      </c>
      <c r="D16" s="73">
        <f>N36</f>
        <v>1573.6269627135246</v>
      </c>
      <c r="E16" s="73">
        <f>D16*11%</f>
        <v>173.09896589848771</v>
      </c>
      <c r="F16" s="73"/>
      <c r="G16" s="73">
        <f>L39</f>
        <v>191.89024390243904</v>
      </c>
      <c r="H16" s="73">
        <f>C16+D16+E16+G16</f>
        <v>1938.6161725144514</v>
      </c>
      <c r="I16" s="74">
        <f>Смета!$E$21</f>
        <v>0.10000021516836566</v>
      </c>
      <c r="J16" s="73">
        <f>D16*I16</f>
        <v>157.36303486609418</v>
      </c>
      <c r="K16" s="73">
        <f>H16+J16</f>
        <v>2095.9792073805456</v>
      </c>
      <c r="L16" s="75">
        <f>(K16*15%)</f>
        <v>314.39688110708181</v>
      </c>
      <c r="M16" s="217">
        <f t="shared" ref="M16:M18" si="0">K16+L16</f>
        <v>2410.3760884876274</v>
      </c>
      <c r="N16" s="90"/>
    </row>
    <row r="17" spans="1:14" ht="49.5" customHeight="1" x14ac:dyDescent="0.25">
      <c r="A17" s="216">
        <v>2</v>
      </c>
      <c r="B17" s="218" t="s">
        <v>198</v>
      </c>
      <c r="C17" s="73">
        <v>0</v>
      </c>
      <c r="D17" s="73">
        <f>N36</f>
        <v>1573.6269627135246</v>
      </c>
      <c r="E17" s="73">
        <f t="shared" ref="E17:E18" si="1">D17*11%</f>
        <v>173.09896589848771</v>
      </c>
      <c r="F17" s="73"/>
      <c r="G17" s="73">
        <f>L39</f>
        <v>191.89024390243904</v>
      </c>
      <c r="H17" s="73">
        <f t="shared" ref="H17:H18" si="2">C17+D17+E17+G17</f>
        <v>1938.6161725144514</v>
      </c>
      <c r="I17" s="74">
        <f>Смета!$E$21</f>
        <v>0.10000021516836566</v>
      </c>
      <c r="J17" s="73">
        <f t="shared" ref="J17:J18" si="3">D17*I17</f>
        <v>157.36303486609418</v>
      </c>
      <c r="K17" s="73">
        <f t="shared" ref="K17:K18" si="4">H17+J17</f>
        <v>2095.9792073805456</v>
      </c>
      <c r="L17" s="75">
        <f>(K17*15%)</f>
        <v>314.39688110708181</v>
      </c>
      <c r="M17" s="217">
        <f t="shared" si="0"/>
        <v>2410.3760884876274</v>
      </c>
      <c r="N17" s="90"/>
    </row>
    <row r="18" spans="1:14" ht="49.5" customHeight="1" x14ac:dyDescent="0.25">
      <c r="A18" s="216">
        <v>3</v>
      </c>
      <c r="B18" s="218" t="s">
        <v>199</v>
      </c>
      <c r="C18" s="73">
        <v>0</v>
      </c>
      <c r="D18" s="73">
        <f>N36</f>
        <v>1573.6269627135246</v>
      </c>
      <c r="E18" s="73">
        <f t="shared" si="1"/>
        <v>173.09896589848771</v>
      </c>
      <c r="F18" s="73"/>
      <c r="G18" s="73">
        <f>L39</f>
        <v>191.89024390243904</v>
      </c>
      <c r="H18" s="73">
        <f t="shared" si="2"/>
        <v>1938.6161725144514</v>
      </c>
      <c r="I18" s="74">
        <f>Смета!$E$21</f>
        <v>0.10000021516836566</v>
      </c>
      <c r="J18" s="73">
        <f t="shared" si="3"/>
        <v>157.36303486609418</v>
      </c>
      <c r="K18" s="73">
        <f t="shared" si="4"/>
        <v>2095.9792073805456</v>
      </c>
      <c r="L18" s="75">
        <f t="shared" ref="L18" si="5">(K18*15%)</f>
        <v>314.39688110708181</v>
      </c>
      <c r="M18" s="217">
        <f t="shared" si="0"/>
        <v>2410.3760884876274</v>
      </c>
      <c r="N18" s="90"/>
    </row>
    <row r="19" spans="1:14" x14ac:dyDescent="0.25">
      <c r="A19" s="107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90"/>
      <c r="M19" s="90"/>
      <c r="N19" s="90"/>
    </row>
    <row r="20" spans="1:14" ht="18.75" x14ac:dyDescent="0.25">
      <c r="A20" s="318" t="s">
        <v>26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</row>
    <row r="21" spans="1:14" ht="15.75" thickBot="1" x14ac:dyDescent="0.3">
      <c r="A21" s="38"/>
      <c r="B21" s="39"/>
      <c r="C21" s="40"/>
      <c r="D21" s="40"/>
      <c r="E21" s="41"/>
      <c r="F21" s="41"/>
      <c r="G21" s="40"/>
      <c r="H21" s="41"/>
      <c r="I21" s="42"/>
      <c r="J21" s="41"/>
      <c r="K21" s="41"/>
    </row>
    <row r="22" spans="1:14" ht="51.75" thickBot="1" x14ac:dyDescent="0.3">
      <c r="A22" s="43" t="s">
        <v>7</v>
      </c>
      <c r="B22" s="44" t="s">
        <v>27</v>
      </c>
      <c r="C22" s="44" t="s">
        <v>28</v>
      </c>
      <c r="D22" s="44" t="s">
        <v>29</v>
      </c>
      <c r="E22" s="45" t="s">
        <v>30</v>
      </c>
      <c r="F22" s="44" t="s">
        <v>31</v>
      </c>
    </row>
    <row r="23" spans="1:14" ht="15.75" thickBot="1" x14ac:dyDescent="0.3">
      <c r="A23" s="220"/>
      <c r="B23" s="221"/>
      <c r="C23" s="222"/>
      <c r="D23" s="223"/>
      <c r="E23" s="224"/>
      <c r="F23" s="225"/>
      <c r="G23" s="110"/>
    </row>
    <row r="24" spans="1:14" ht="18.75" x14ac:dyDescent="0.25">
      <c r="A24" s="328" t="s">
        <v>37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</row>
    <row r="25" spans="1:14" ht="19.5" thickBot="1" x14ac:dyDescent="0.3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 t="s">
        <v>38</v>
      </c>
    </row>
    <row r="26" spans="1:14" ht="15.75" customHeight="1" thickBot="1" x14ac:dyDescent="0.3">
      <c r="A26" s="319" t="s">
        <v>7</v>
      </c>
      <c r="B26" s="319" t="s">
        <v>39</v>
      </c>
      <c r="C26" s="337" t="s">
        <v>40</v>
      </c>
      <c r="D26" s="337" t="s">
        <v>41</v>
      </c>
      <c r="E26" s="337" t="s">
        <v>102</v>
      </c>
      <c r="F26" s="319" t="s">
        <v>43</v>
      </c>
      <c r="G26" s="340" t="s">
        <v>188</v>
      </c>
      <c r="H26" s="341"/>
      <c r="I26" s="342"/>
      <c r="J26" s="315" t="s">
        <v>44</v>
      </c>
      <c r="K26" s="319" t="s">
        <v>45</v>
      </c>
      <c r="L26" s="319" t="s">
        <v>46</v>
      </c>
      <c r="M26" s="319" t="s">
        <v>47</v>
      </c>
      <c r="N26" s="319" t="s">
        <v>48</v>
      </c>
    </row>
    <row r="27" spans="1:14" ht="15" customHeight="1" x14ac:dyDescent="0.25">
      <c r="A27" s="320"/>
      <c r="B27" s="320"/>
      <c r="C27" s="338"/>
      <c r="D27" s="338"/>
      <c r="E27" s="338"/>
      <c r="F27" s="320"/>
      <c r="G27" s="315" t="s">
        <v>49</v>
      </c>
      <c r="H27" s="315" t="s">
        <v>50</v>
      </c>
      <c r="I27" s="332" t="s">
        <v>187</v>
      </c>
      <c r="J27" s="316"/>
      <c r="K27" s="320"/>
      <c r="L27" s="320"/>
      <c r="M27" s="320"/>
      <c r="N27" s="320"/>
    </row>
    <row r="28" spans="1:14" x14ac:dyDescent="0.25">
      <c r="A28" s="320"/>
      <c r="B28" s="320"/>
      <c r="C28" s="338"/>
      <c r="D28" s="338"/>
      <c r="E28" s="338"/>
      <c r="F28" s="320"/>
      <c r="G28" s="316"/>
      <c r="H28" s="316"/>
      <c r="I28" s="320"/>
      <c r="J28" s="316"/>
      <c r="K28" s="320"/>
      <c r="L28" s="320"/>
      <c r="M28" s="320"/>
      <c r="N28" s="320"/>
    </row>
    <row r="29" spans="1:14" ht="15.75" thickBot="1" x14ac:dyDescent="0.3">
      <c r="A29" s="320"/>
      <c r="B29" s="320"/>
      <c r="C29" s="338"/>
      <c r="D29" s="338"/>
      <c r="E29" s="338"/>
      <c r="F29" s="320"/>
      <c r="G29" s="317"/>
      <c r="H29" s="317"/>
      <c r="I29" s="321"/>
      <c r="J29" s="316"/>
      <c r="K29" s="320"/>
      <c r="L29" s="320"/>
      <c r="M29" s="320"/>
      <c r="N29" s="320"/>
    </row>
    <row r="30" spans="1:14" x14ac:dyDescent="0.25">
      <c r="A30" s="320"/>
      <c r="B30" s="320"/>
      <c r="C30" s="338"/>
      <c r="D30" s="338"/>
      <c r="E30" s="338"/>
      <c r="F30" s="320"/>
      <c r="G30" s="343" t="s">
        <v>19</v>
      </c>
      <c r="H30" s="333" t="s">
        <v>19</v>
      </c>
      <c r="I30" s="335" t="s">
        <v>19</v>
      </c>
      <c r="J30" s="316"/>
      <c r="K30" s="320"/>
      <c r="L30" s="320"/>
      <c r="M30" s="320"/>
      <c r="N30" s="320"/>
    </row>
    <row r="31" spans="1:14" ht="15.75" thickBot="1" x14ac:dyDescent="0.3">
      <c r="A31" s="321"/>
      <c r="B31" s="321"/>
      <c r="C31" s="339"/>
      <c r="D31" s="339"/>
      <c r="E31" s="339"/>
      <c r="F31" s="321"/>
      <c r="G31" s="344"/>
      <c r="H31" s="334"/>
      <c r="I31" s="336"/>
      <c r="J31" s="317"/>
      <c r="K31" s="321"/>
      <c r="L31" s="321"/>
      <c r="M31" s="321"/>
      <c r="N31" s="321"/>
    </row>
    <row r="32" spans="1:14" ht="13.5" customHeight="1" x14ac:dyDescent="0.25">
      <c r="A32" s="111">
        <v>1</v>
      </c>
      <c r="B32" s="112">
        <v>2</v>
      </c>
      <c r="C32" s="113">
        <v>3</v>
      </c>
      <c r="D32" s="113">
        <v>4</v>
      </c>
      <c r="E32" s="113">
        <v>5</v>
      </c>
      <c r="F32" s="113">
        <v>6</v>
      </c>
      <c r="G32" s="113">
        <v>9</v>
      </c>
      <c r="H32" s="113">
        <v>11</v>
      </c>
      <c r="I32" s="51">
        <v>13</v>
      </c>
      <c r="J32" s="114">
        <v>14</v>
      </c>
      <c r="K32" s="114">
        <v>15</v>
      </c>
      <c r="L32" s="114">
        <v>16</v>
      </c>
      <c r="M32" s="113">
        <v>17</v>
      </c>
      <c r="N32" s="115">
        <v>18</v>
      </c>
    </row>
    <row r="33" spans="1:14" x14ac:dyDescent="0.25">
      <c r="A33" s="229">
        <v>1</v>
      </c>
      <c r="B33" s="230" t="s">
        <v>200</v>
      </c>
      <c r="C33" s="229" t="s">
        <v>103</v>
      </c>
      <c r="D33" s="229">
        <v>4.4000000000000004</v>
      </c>
      <c r="E33" s="117">
        <v>17697</v>
      </c>
      <c r="F33" s="117">
        <f>D33*E33*2.02</f>
        <v>157290.93600000002</v>
      </c>
      <c r="G33" s="231"/>
      <c r="H33" s="117">
        <f>E33*150%</f>
        <v>26545.5</v>
      </c>
      <c r="I33" s="117">
        <f>F33*10%</f>
        <v>15729.093600000002</v>
      </c>
      <c r="J33" s="117">
        <f t="shared" ref="J33" si="6">F33+G33+H33+I33</f>
        <v>199565.52960000001</v>
      </c>
      <c r="K33" s="117">
        <f>J33/163.33</f>
        <v>1221.8547088716095</v>
      </c>
      <c r="L33" s="117">
        <f>K33/60</f>
        <v>20.36424514786016</v>
      </c>
      <c r="M33" s="117">
        <v>40</v>
      </c>
      <c r="N33" s="219">
        <f>L33*M33</f>
        <v>814.5698059144064</v>
      </c>
    </row>
    <row r="34" spans="1:14" s="226" customFormat="1" x14ac:dyDescent="0.25">
      <c r="A34" s="229">
        <v>2</v>
      </c>
      <c r="B34" s="230" t="s">
        <v>53</v>
      </c>
      <c r="C34" s="229" t="s">
        <v>106</v>
      </c>
      <c r="D34" s="229">
        <v>3.53</v>
      </c>
      <c r="E34" s="117">
        <v>17697</v>
      </c>
      <c r="F34" s="117">
        <f>D34*E34*1.63</f>
        <v>101826.76829999998</v>
      </c>
      <c r="G34" s="231"/>
      <c r="H34" s="117">
        <f>E34*100%</f>
        <v>17697</v>
      </c>
      <c r="I34" s="117">
        <f>F34*10%</f>
        <v>10182.676829999999</v>
      </c>
      <c r="J34" s="117">
        <f>F34+G34+H34+I34</f>
        <v>129706.44512999998</v>
      </c>
      <c r="K34" s="117">
        <f>J34/163.33</f>
        <v>794.13729951631649</v>
      </c>
      <c r="L34" s="117">
        <f>K34/60</f>
        <v>13.235621658605275</v>
      </c>
      <c r="M34" s="117">
        <v>40</v>
      </c>
      <c r="N34" s="219">
        <f>L34*M34</f>
        <v>529.42486634421107</v>
      </c>
    </row>
    <row r="35" spans="1:14" ht="15.75" thickBot="1" x14ac:dyDescent="0.3">
      <c r="A35" s="234">
        <v>3</v>
      </c>
      <c r="B35" s="235" t="s">
        <v>186</v>
      </c>
      <c r="C35" s="234" t="s">
        <v>103</v>
      </c>
      <c r="D35" s="234">
        <v>2.89</v>
      </c>
      <c r="E35" s="236">
        <v>17697</v>
      </c>
      <c r="F35" s="236">
        <f t="shared" ref="F35" si="7">D35*E35</f>
        <v>51144.33</v>
      </c>
      <c r="G35" s="237"/>
      <c r="H35" s="236"/>
      <c r="I35" s="236">
        <f t="shared" ref="I35" si="8">F35*10%</f>
        <v>5114.4330000000009</v>
      </c>
      <c r="J35" s="236">
        <f t="shared" ref="J35" si="9">F35+G35+H35+I35</f>
        <v>56258.763000000006</v>
      </c>
      <c r="K35" s="236">
        <f t="shared" ref="K35" si="10">J35/163.33</f>
        <v>344.44843568236087</v>
      </c>
      <c r="L35" s="236">
        <f t="shared" ref="L35" si="11">K35/60</f>
        <v>5.740807261372681</v>
      </c>
      <c r="M35" s="236">
        <v>40</v>
      </c>
      <c r="N35" s="238">
        <f t="shared" ref="N35" si="12">L35*M35</f>
        <v>229.63229045490723</v>
      </c>
    </row>
    <row r="36" spans="1:14" ht="15.75" thickBot="1" x14ac:dyDescent="0.3">
      <c r="A36" s="329" t="s">
        <v>194</v>
      </c>
      <c r="B36" s="330"/>
      <c r="C36" s="330"/>
      <c r="D36" s="330"/>
      <c r="E36" s="331"/>
      <c r="F36" s="239"/>
      <c r="G36" s="239"/>
      <c r="H36" s="239"/>
      <c r="I36" s="239"/>
      <c r="J36" s="239"/>
      <c r="K36" s="239"/>
      <c r="L36" s="239"/>
      <c r="M36" s="239"/>
      <c r="N36" s="240">
        <f>SUM(N33:N35)</f>
        <v>1573.6269627135246</v>
      </c>
    </row>
    <row r="37" spans="1:14" ht="19.5" thickBot="1" x14ac:dyDescent="0.3">
      <c r="A37" s="322" t="s">
        <v>16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</row>
    <row r="38" spans="1:14" ht="77.25" thickBot="1" x14ac:dyDescent="0.3">
      <c r="A38" s="3" t="s">
        <v>7</v>
      </c>
      <c r="B38" s="4" t="s">
        <v>55</v>
      </c>
      <c r="C38" s="5" t="s">
        <v>56</v>
      </c>
      <c r="D38" s="6" t="s">
        <v>57</v>
      </c>
      <c r="E38" s="4" t="s">
        <v>58</v>
      </c>
      <c r="F38" s="7" t="s">
        <v>59</v>
      </c>
      <c r="G38" s="8" t="s">
        <v>60</v>
      </c>
      <c r="H38" s="4" t="s">
        <v>61</v>
      </c>
      <c r="I38" s="4" t="s">
        <v>62</v>
      </c>
      <c r="J38" s="9" t="s">
        <v>63</v>
      </c>
      <c r="K38" s="10" t="s">
        <v>64</v>
      </c>
      <c r="L38" s="11" t="s">
        <v>65</v>
      </c>
    </row>
    <row r="39" spans="1:14" ht="51" x14ac:dyDescent="0.25">
      <c r="A39" s="124">
        <v>1</v>
      </c>
      <c r="B39" s="243" t="s">
        <v>201</v>
      </c>
      <c r="C39" s="91">
        <v>1</v>
      </c>
      <c r="D39" s="92">
        <v>2014</v>
      </c>
      <c r="E39" s="93">
        <v>10490000</v>
      </c>
      <c r="F39" s="93">
        <f>E39*40%</f>
        <v>4196000</v>
      </c>
      <c r="G39" s="136">
        <v>0.1</v>
      </c>
      <c r="H39" s="93">
        <f>E39-F39</f>
        <v>6294000</v>
      </c>
      <c r="I39" s="93">
        <f>H39*G39/100</f>
        <v>6294</v>
      </c>
      <c r="J39" s="93">
        <f>I39/1968</f>
        <v>3.1981707317073171</v>
      </c>
      <c r="K39" s="93">
        <v>60</v>
      </c>
      <c r="L39" s="126">
        <f>J39*K39</f>
        <v>191.89024390243904</v>
      </c>
    </row>
    <row r="40" spans="1:14" x14ac:dyDescent="0.25">
      <c r="E40" s="141"/>
    </row>
    <row r="41" spans="1:14" ht="18.75" x14ac:dyDescent="0.3">
      <c r="B41" s="130"/>
      <c r="C41" s="131"/>
      <c r="D41" s="132"/>
      <c r="E41" s="141"/>
      <c r="G41" s="133"/>
      <c r="H41" s="134"/>
      <c r="J41" s="127"/>
      <c r="K41" s="128"/>
    </row>
    <row r="42" spans="1:14" ht="18.75" x14ac:dyDescent="0.3">
      <c r="B42" s="143" t="s">
        <v>67</v>
      </c>
      <c r="C42" s="143" t="s">
        <v>68</v>
      </c>
      <c r="D42" s="144"/>
      <c r="E42" s="142" t="s">
        <v>69</v>
      </c>
      <c r="F42" s="135"/>
      <c r="G42" s="133"/>
      <c r="H42" s="134"/>
      <c r="J42" s="127"/>
      <c r="K42" s="128"/>
    </row>
    <row r="43" spans="1:14" ht="18.75" x14ac:dyDescent="0.3">
      <c r="B43" s="145"/>
      <c r="C43" s="143"/>
      <c r="D43" s="144"/>
      <c r="E43" s="142"/>
      <c r="F43" s="135"/>
      <c r="G43" s="133"/>
      <c r="H43" s="134"/>
      <c r="J43" s="127"/>
      <c r="K43" s="128"/>
    </row>
    <row r="44" spans="1:14" ht="18.75" x14ac:dyDescent="0.3">
      <c r="B44" s="145" t="s">
        <v>70</v>
      </c>
      <c r="C44" s="143" t="s">
        <v>68</v>
      </c>
      <c r="D44" s="144"/>
      <c r="E44" s="135" t="s">
        <v>71</v>
      </c>
      <c r="F44" s="144"/>
      <c r="G44" s="133"/>
      <c r="H44" s="134"/>
      <c r="J44" s="127"/>
      <c r="K44" s="128"/>
    </row>
    <row r="45" spans="1:14" ht="15.75" x14ac:dyDescent="0.25">
      <c r="B45" s="145"/>
      <c r="C45" s="135"/>
      <c r="D45" s="135"/>
      <c r="E45" s="135"/>
      <c r="F45" s="135"/>
    </row>
    <row r="46" spans="1:14" ht="15.75" x14ac:dyDescent="0.25">
      <c r="B46" s="135"/>
      <c r="C46" s="143"/>
      <c r="D46" s="135"/>
      <c r="E46" s="135"/>
      <c r="F46" s="135"/>
    </row>
    <row r="47" spans="1:14" ht="15.75" x14ac:dyDescent="0.25">
      <c r="B47" s="135"/>
      <c r="C47" s="129"/>
      <c r="D47" s="129"/>
      <c r="E47" s="129"/>
    </row>
  </sheetData>
  <mergeCells count="42">
    <mergeCell ref="A8:N8"/>
    <mergeCell ref="H1:N1"/>
    <mergeCell ref="H2:N2"/>
    <mergeCell ref="H3:N3"/>
    <mergeCell ref="H4:N4"/>
    <mergeCell ref="H5:N5"/>
    <mergeCell ref="A9:N9"/>
    <mergeCell ref="A10:N10"/>
    <mergeCell ref="A12:A14"/>
    <mergeCell ref="B12:B14"/>
    <mergeCell ref="C12:H12"/>
    <mergeCell ref="I12:J12"/>
    <mergeCell ref="K12:K14"/>
    <mergeCell ref="L12:L14"/>
    <mergeCell ref="M12:M14"/>
    <mergeCell ref="D13:F13"/>
    <mergeCell ref="H13:H14"/>
    <mergeCell ref="I13:I14"/>
    <mergeCell ref="J13:J14"/>
    <mergeCell ref="G13:G14"/>
    <mergeCell ref="A20:N20"/>
    <mergeCell ref="A24:N24"/>
    <mergeCell ref="C26:C31"/>
    <mergeCell ref="D26:D31"/>
    <mergeCell ref="E26:E31"/>
    <mergeCell ref="F26:F31"/>
    <mergeCell ref="H30:H31"/>
    <mergeCell ref="I30:I31"/>
    <mergeCell ref="A37:N37"/>
    <mergeCell ref="A36:E36"/>
    <mergeCell ref="G26:I26"/>
    <mergeCell ref="J26:J31"/>
    <mergeCell ref="K26:K31"/>
    <mergeCell ref="L26:L31"/>
    <mergeCell ref="M26:M31"/>
    <mergeCell ref="N26:N31"/>
    <mergeCell ref="G27:G29"/>
    <mergeCell ref="H27:H29"/>
    <mergeCell ref="I27:I29"/>
    <mergeCell ref="G30:G31"/>
    <mergeCell ref="A26:A31"/>
    <mergeCell ref="B26:B31"/>
  </mergeCells>
  <pageMargins left="0" right="0" top="0" bottom="0" header="0.31496062992125984" footer="0.31496062992125984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9.140625" style="89"/>
    <col min="2" max="2" width="32.5703125" style="89" customWidth="1"/>
    <col min="3" max="3" width="12.5703125" style="89" customWidth="1"/>
    <col min="4" max="4" width="14.5703125" style="89" customWidth="1"/>
    <col min="5" max="5" width="16.28515625" style="89" bestFit="1" customWidth="1"/>
    <col min="6" max="6" width="14.140625" style="89" bestFit="1" customWidth="1"/>
    <col min="7" max="7" width="11.85546875" style="89" customWidth="1"/>
    <col min="8" max="8" width="12.42578125" style="89" customWidth="1"/>
    <col min="9" max="9" width="9.140625" style="89"/>
    <col min="10" max="10" width="14.7109375" style="89" bestFit="1" customWidth="1"/>
    <col min="11" max="11" width="9.140625" style="89" customWidth="1"/>
    <col min="12" max="12" width="10.42578125" style="89" customWidth="1"/>
    <col min="13" max="13" width="9.85546875" style="89" customWidth="1"/>
    <col min="14" max="14" width="10.5703125" style="89" customWidth="1"/>
    <col min="15" max="16384" width="9.140625" style="89"/>
  </cols>
  <sheetData>
    <row r="1" spans="1:14" ht="18.75" x14ac:dyDescent="0.3">
      <c r="A1" s="94"/>
      <c r="B1" s="95"/>
      <c r="C1" s="96"/>
      <c r="D1" s="96"/>
      <c r="E1" s="94"/>
      <c r="F1" s="94"/>
      <c r="G1" s="96"/>
      <c r="H1" s="392" t="s">
        <v>0</v>
      </c>
      <c r="I1" s="392"/>
      <c r="J1" s="392"/>
      <c r="K1" s="392"/>
      <c r="L1" s="392"/>
      <c r="M1" s="392"/>
      <c r="N1" s="392"/>
    </row>
    <row r="2" spans="1:14" ht="18.75" x14ac:dyDescent="0.3">
      <c r="A2" s="94"/>
      <c r="B2" s="95"/>
      <c r="C2" s="96"/>
      <c r="D2" s="96"/>
      <c r="E2" s="94"/>
      <c r="F2" s="94"/>
      <c r="G2" s="96"/>
      <c r="H2" s="392" t="s">
        <v>1</v>
      </c>
      <c r="I2" s="392"/>
      <c r="J2" s="392"/>
      <c r="K2" s="392"/>
      <c r="L2" s="392"/>
      <c r="M2" s="392"/>
      <c r="N2" s="392"/>
    </row>
    <row r="3" spans="1:14" ht="18.75" x14ac:dyDescent="0.3">
      <c r="A3" s="94"/>
      <c r="B3" s="95"/>
      <c r="C3" s="96"/>
      <c r="D3" s="96"/>
      <c r="E3" s="94"/>
      <c r="F3" s="94"/>
      <c r="G3" s="96"/>
      <c r="H3" s="392" t="s">
        <v>2</v>
      </c>
      <c r="I3" s="392"/>
      <c r="J3" s="392"/>
      <c r="K3" s="392"/>
      <c r="L3" s="392"/>
      <c r="M3" s="392"/>
      <c r="N3" s="392"/>
    </row>
    <row r="4" spans="1:14" ht="18.75" x14ac:dyDescent="0.3">
      <c r="A4" s="94"/>
      <c r="B4" s="95"/>
      <c r="C4" s="96"/>
      <c r="D4" s="96"/>
      <c r="E4" s="94"/>
      <c r="F4" s="94"/>
      <c r="G4" s="96"/>
      <c r="H4" s="392" t="s">
        <v>3</v>
      </c>
      <c r="I4" s="392"/>
      <c r="J4" s="392"/>
      <c r="K4" s="392"/>
      <c r="L4" s="392"/>
      <c r="M4" s="392"/>
      <c r="N4" s="392"/>
    </row>
    <row r="5" spans="1:14" ht="18.75" x14ac:dyDescent="0.3">
      <c r="A5" s="94"/>
      <c r="B5" s="95"/>
      <c r="C5" s="96"/>
      <c r="D5" s="96"/>
      <c r="E5" s="94"/>
      <c r="F5" s="94"/>
      <c r="G5" s="96"/>
      <c r="H5" s="392" t="s">
        <v>112</v>
      </c>
      <c r="I5" s="392"/>
      <c r="J5" s="392"/>
      <c r="K5" s="392"/>
      <c r="L5" s="392"/>
      <c r="M5" s="392"/>
      <c r="N5" s="392"/>
    </row>
    <row r="6" spans="1:14" ht="18.75" x14ac:dyDescent="0.3">
      <c r="A6" s="94"/>
      <c r="B6" s="95"/>
      <c r="C6" s="96"/>
      <c r="D6" s="96"/>
      <c r="E6" s="94"/>
      <c r="F6" s="94"/>
      <c r="G6" s="96"/>
      <c r="H6" s="94"/>
      <c r="I6" s="233"/>
      <c r="J6" s="233"/>
      <c r="K6" s="233"/>
      <c r="L6" s="90"/>
      <c r="M6" s="97"/>
      <c r="N6" s="97"/>
    </row>
    <row r="7" spans="1:14" ht="18.75" x14ac:dyDescent="0.3">
      <c r="A7" s="94"/>
      <c r="B7" s="95"/>
      <c r="C7" s="96"/>
      <c r="D7" s="96"/>
      <c r="E7" s="94"/>
      <c r="F7" s="94"/>
      <c r="G7" s="96"/>
      <c r="H7" s="94"/>
      <c r="I7" s="233"/>
      <c r="J7" s="233"/>
      <c r="K7" s="233"/>
      <c r="L7" s="90"/>
      <c r="M7" s="97"/>
      <c r="N7" s="97"/>
    </row>
    <row r="8" spans="1:14" ht="18.75" x14ac:dyDescent="0.3">
      <c r="A8" s="346" t="s">
        <v>5</v>
      </c>
      <c r="B8" s="346"/>
      <c r="C8" s="346"/>
      <c r="D8" s="346"/>
      <c r="E8" s="346"/>
      <c r="F8" s="346"/>
      <c r="G8" s="346"/>
      <c r="H8" s="346"/>
      <c r="I8" s="346"/>
      <c r="J8" s="346"/>
      <c r="K8" s="346"/>
      <c r="L8" s="346"/>
      <c r="M8" s="346"/>
      <c r="N8" s="346"/>
    </row>
    <row r="9" spans="1:14" ht="18.75" x14ac:dyDescent="0.25">
      <c r="A9" s="347" t="s">
        <v>72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</row>
    <row r="10" spans="1:14" ht="18.75" x14ac:dyDescent="0.3">
      <c r="A10" s="346" t="s">
        <v>6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</row>
    <row r="11" spans="1:14" ht="16.5" thickBot="1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ht="16.5" customHeight="1" thickBot="1" x14ac:dyDescent="0.3">
      <c r="A12" s="348" t="s">
        <v>7</v>
      </c>
      <c r="B12" s="348" t="s">
        <v>8</v>
      </c>
      <c r="C12" s="351" t="s">
        <v>9</v>
      </c>
      <c r="D12" s="352"/>
      <c r="E12" s="352"/>
      <c r="F12" s="352"/>
      <c r="G12" s="353"/>
      <c r="H12" s="354"/>
      <c r="I12" s="351" t="s">
        <v>10</v>
      </c>
      <c r="J12" s="354"/>
      <c r="K12" s="348" t="s">
        <v>11</v>
      </c>
      <c r="L12" s="355" t="s">
        <v>189</v>
      </c>
      <c r="M12" s="355" t="s">
        <v>13</v>
      </c>
    </row>
    <row r="13" spans="1:14" ht="48" thickBot="1" x14ac:dyDescent="0.3">
      <c r="A13" s="349"/>
      <c r="B13" s="349"/>
      <c r="C13" s="100" t="s">
        <v>14</v>
      </c>
      <c r="D13" s="360" t="s">
        <v>15</v>
      </c>
      <c r="E13" s="361"/>
      <c r="F13" s="362"/>
      <c r="G13" s="363" t="s">
        <v>16</v>
      </c>
      <c r="H13" s="348" t="s">
        <v>17</v>
      </c>
      <c r="I13" s="348" t="s">
        <v>18</v>
      </c>
      <c r="J13" s="348" t="s">
        <v>19</v>
      </c>
      <c r="K13" s="349"/>
      <c r="L13" s="356"/>
      <c r="M13" s="358"/>
    </row>
    <row r="14" spans="1:14" ht="95.25" thickBot="1" x14ac:dyDescent="0.3">
      <c r="A14" s="350"/>
      <c r="B14" s="350"/>
      <c r="C14" s="101" t="s">
        <v>20</v>
      </c>
      <c r="D14" s="102" t="s">
        <v>21</v>
      </c>
      <c r="E14" s="103" t="s">
        <v>22</v>
      </c>
      <c r="F14" s="103" t="s">
        <v>23</v>
      </c>
      <c r="G14" s="364"/>
      <c r="H14" s="350"/>
      <c r="I14" s="350"/>
      <c r="J14" s="350"/>
      <c r="K14" s="350"/>
      <c r="L14" s="357"/>
      <c r="M14" s="359"/>
    </row>
    <row r="15" spans="1:14" ht="15.75" x14ac:dyDescent="0.25">
      <c r="A15" s="23">
        <v>1</v>
      </c>
      <c r="B15" s="24">
        <v>2</v>
      </c>
      <c r="C15" s="25">
        <v>3</v>
      </c>
      <c r="D15" s="25">
        <v>4</v>
      </c>
      <c r="E15" s="26">
        <v>5</v>
      </c>
      <c r="F15" s="26">
        <v>6</v>
      </c>
      <c r="G15" s="25">
        <v>6</v>
      </c>
      <c r="H15" s="26">
        <v>7</v>
      </c>
      <c r="I15" s="26">
        <v>8</v>
      </c>
      <c r="J15" s="26">
        <v>9</v>
      </c>
      <c r="K15" s="26">
        <v>10</v>
      </c>
      <c r="L15" s="27">
        <v>11</v>
      </c>
      <c r="M15" s="28">
        <v>12</v>
      </c>
    </row>
    <row r="16" spans="1:14" ht="78.75" x14ac:dyDescent="0.25">
      <c r="A16" s="216">
        <v>1</v>
      </c>
      <c r="B16" s="218" t="s">
        <v>202</v>
      </c>
      <c r="C16" s="73">
        <v>0</v>
      </c>
      <c r="D16" s="73">
        <f>$N$53</f>
        <v>1633.0135280720012</v>
      </c>
      <c r="E16" s="73">
        <f>D16*11%</f>
        <v>179.63148808792013</v>
      </c>
      <c r="F16" s="73"/>
      <c r="G16" s="73">
        <f>$L$56</f>
        <v>690.05582317073186</v>
      </c>
      <c r="H16" s="73">
        <f>C16+D16+E16+G16</f>
        <v>2502.7008393306533</v>
      </c>
      <c r="I16" s="74">
        <f>Смета!$E$21</f>
        <v>0.10000021516836566</v>
      </c>
      <c r="J16" s="73">
        <f>D16*I16</f>
        <v>163.30170418005207</v>
      </c>
      <c r="K16" s="73">
        <f>H16+J16</f>
        <v>2666.0025435107054</v>
      </c>
      <c r="L16" s="75">
        <f>(K16*15%)</f>
        <v>399.90038152660583</v>
      </c>
      <c r="M16" s="217">
        <f t="shared" ref="M16" si="0">K16+L16</f>
        <v>3065.9029250373114</v>
      </c>
      <c r="N16" s="90"/>
    </row>
    <row r="17" spans="1:14" ht="49.5" customHeight="1" x14ac:dyDescent="0.25">
      <c r="A17" s="216">
        <v>2</v>
      </c>
      <c r="B17" s="218" t="s">
        <v>203</v>
      </c>
      <c r="C17" s="73">
        <v>0</v>
      </c>
      <c r="D17" s="73">
        <f t="shared" ref="D17:D35" si="1">$N$53</f>
        <v>1633.0135280720012</v>
      </c>
      <c r="E17" s="73">
        <f t="shared" ref="E17:E35" si="2">D17*11%</f>
        <v>179.63148808792013</v>
      </c>
      <c r="F17" s="73"/>
      <c r="G17" s="73">
        <f t="shared" ref="G17:G35" si="3">$L$56</f>
        <v>690.05582317073186</v>
      </c>
      <c r="H17" s="73">
        <f t="shared" ref="H17:H35" si="4">C17+D17+E17+G17</f>
        <v>2502.7008393306533</v>
      </c>
      <c r="I17" s="74">
        <f>Смета!$E$21</f>
        <v>0.10000021516836566</v>
      </c>
      <c r="J17" s="73">
        <f t="shared" ref="J17:J35" si="5">D17*I17</f>
        <v>163.30170418005207</v>
      </c>
      <c r="K17" s="73">
        <f t="shared" ref="K17:K35" si="6">H17+J17</f>
        <v>2666.0025435107054</v>
      </c>
      <c r="L17" s="75">
        <f t="shared" ref="L17:L35" si="7">(K17*15%)</f>
        <v>399.90038152660583</v>
      </c>
      <c r="M17" s="217">
        <f t="shared" ref="M17:M35" si="8">K17+L17</f>
        <v>3065.9029250373114</v>
      </c>
      <c r="N17" s="90"/>
    </row>
    <row r="18" spans="1:14" ht="49.5" customHeight="1" x14ac:dyDescent="0.25">
      <c r="A18" s="216"/>
      <c r="B18" s="218" t="s">
        <v>204</v>
      </c>
      <c r="C18" s="73">
        <v>0</v>
      </c>
      <c r="D18" s="73">
        <f t="shared" si="1"/>
        <v>1633.0135280720012</v>
      </c>
      <c r="E18" s="73">
        <f t="shared" si="2"/>
        <v>179.63148808792013</v>
      </c>
      <c r="F18" s="73"/>
      <c r="G18" s="73">
        <f t="shared" si="3"/>
        <v>690.05582317073186</v>
      </c>
      <c r="H18" s="73">
        <f t="shared" si="4"/>
        <v>2502.7008393306533</v>
      </c>
      <c r="I18" s="74">
        <f>Смета!$E$21</f>
        <v>0.10000021516836566</v>
      </c>
      <c r="J18" s="73">
        <f t="shared" si="5"/>
        <v>163.30170418005207</v>
      </c>
      <c r="K18" s="73">
        <f t="shared" si="6"/>
        <v>2666.0025435107054</v>
      </c>
      <c r="L18" s="75">
        <f t="shared" si="7"/>
        <v>399.90038152660583</v>
      </c>
      <c r="M18" s="217">
        <f t="shared" si="8"/>
        <v>3065.9029250373114</v>
      </c>
      <c r="N18" s="90"/>
    </row>
    <row r="19" spans="1:14" ht="49.5" customHeight="1" x14ac:dyDescent="0.25">
      <c r="A19" s="216"/>
      <c r="B19" s="218" t="s">
        <v>205</v>
      </c>
      <c r="C19" s="73">
        <v>0</v>
      </c>
      <c r="D19" s="73">
        <f t="shared" si="1"/>
        <v>1633.0135280720012</v>
      </c>
      <c r="E19" s="73">
        <f t="shared" si="2"/>
        <v>179.63148808792013</v>
      </c>
      <c r="F19" s="73"/>
      <c r="G19" s="73">
        <f t="shared" si="3"/>
        <v>690.05582317073186</v>
      </c>
      <c r="H19" s="73">
        <f t="shared" si="4"/>
        <v>2502.7008393306533</v>
      </c>
      <c r="I19" s="74">
        <f>Смета!$E$21</f>
        <v>0.10000021516836566</v>
      </c>
      <c r="J19" s="73">
        <f t="shared" si="5"/>
        <v>163.30170418005207</v>
      </c>
      <c r="K19" s="73">
        <f t="shared" si="6"/>
        <v>2666.0025435107054</v>
      </c>
      <c r="L19" s="75">
        <f t="shared" si="7"/>
        <v>399.90038152660583</v>
      </c>
      <c r="M19" s="217">
        <f t="shared" si="8"/>
        <v>3065.9029250373114</v>
      </c>
      <c r="N19" s="90"/>
    </row>
    <row r="20" spans="1:14" ht="49.5" customHeight="1" x14ac:dyDescent="0.25">
      <c r="A20" s="216"/>
      <c r="B20" s="218" t="s">
        <v>206</v>
      </c>
      <c r="C20" s="73">
        <v>0</v>
      </c>
      <c r="D20" s="73">
        <f t="shared" si="1"/>
        <v>1633.0135280720012</v>
      </c>
      <c r="E20" s="73">
        <f t="shared" si="2"/>
        <v>179.63148808792013</v>
      </c>
      <c r="F20" s="73"/>
      <c r="G20" s="73">
        <f t="shared" si="3"/>
        <v>690.05582317073186</v>
      </c>
      <c r="H20" s="73">
        <f t="shared" si="4"/>
        <v>2502.7008393306533</v>
      </c>
      <c r="I20" s="74">
        <f>Смета!$E$21</f>
        <v>0.10000021516836566</v>
      </c>
      <c r="J20" s="73">
        <f t="shared" si="5"/>
        <v>163.30170418005207</v>
      </c>
      <c r="K20" s="73">
        <f t="shared" si="6"/>
        <v>2666.0025435107054</v>
      </c>
      <c r="L20" s="75">
        <f t="shared" si="7"/>
        <v>399.90038152660583</v>
      </c>
      <c r="M20" s="217">
        <f t="shared" si="8"/>
        <v>3065.9029250373114</v>
      </c>
      <c r="N20" s="90"/>
    </row>
    <row r="21" spans="1:14" ht="49.5" customHeight="1" x14ac:dyDescent="0.25">
      <c r="A21" s="216"/>
      <c r="B21" s="218" t="s">
        <v>207</v>
      </c>
      <c r="C21" s="73">
        <v>0</v>
      </c>
      <c r="D21" s="73">
        <f t="shared" si="1"/>
        <v>1633.0135280720012</v>
      </c>
      <c r="E21" s="73">
        <f t="shared" si="2"/>
        <v>179.63148808792013</v>
      </c>
      <c r="F21" s="73"/>
      <c r="G21" s="73">
        <f t="shared" si="3"/>
        <v>690.05582317073186</v>
      </c>
      <c r="H21" s="73">
        <f t="shared" si="4"/>
        <v>2502.7008393306533</v>
      </c>
      <c r="I21" s="74">
        <f>Смета!$E$21</f>
        <v>0.10000021516836566</v>
      </c>
      <c r="J21" s="73">
        <f t="shared" si="5"/>
        <v>163.30170418005207</v>
      </c>
      <c r="K21" s="73">
        <f t="shared" si="6"/>
        <v>2666.0025435107054</v>
      </c>
      <c r="L21" s="75">
        <f t="shared" si="7"/>
        <v>399.90038152660583</v>
      </c>
      <c r="M21" s="217">
        <f t="shared" si="8"/>
        <v>3065.9029250373114</v>
      </c>
      <c r="N21" s="90"/>
    </row>
    <row r="22" spans="1:14" ht="49.5" customHeight="1" x14ac:dyDescent="0.25">
      <c r="A22" s="216"/>
      <c r="B22" s="218" t="s">
        <v>208</v>
      </c>
      <c r="C22" s="73">
        <v>0</v>
      </c>
      <c r="D22" s="73">
        <f t="shared" si="1"/>
        <v>1633.0135280720012</v>
      </c>
      <c r="E22" s="73">
        <f t="shared" si="2"/>
        <v>179.63148808792013</v>
      </c>
      <c r="F22" s="73"/>
      <c r="G22" s="73">
        <f t="shared" si="3"/>
        <v>690.05582317073186</v>
      </c>
      <c r="H22" s="73">
        <f t="shared" si="4"/>
        <v>2502.7008393306533</v>
      </c>
      <c r="I22" s="74">
        <f>Смета!$E$21</f>
        <v>0.10000021516836566</v>
      </c>
      <c r="J22" s="73">
        <f t="shared" si="5"/>
        <v>163.30170418005207</v>
      </c>
      <c r="K22" s="73">
        <f t="shared" si="6"/>
        <v>2666.0025435107054</v>
      </c>
      <c r="L22" s="75">
        <f t="shared" si="7"/>
        <v>399.90038152660583</v>
      </c>
      <c r="M22" s="217">
        <f t="shared" si="8"/>
        <v>3065.9029250373114</v>
      </c>
      <c r="N22" s="90"/>
    </row>
    <row r="23" spans="1:14" ht="49.5" customHeight="1" x14ac:dyDescent="0.25">
      <c r="A23" s="216"/>
      <c r="B23" s="218" t="s">
        <v>209</v>
      </c>
      <c r="C23" s="73">
        <v>0</v>
      </c>
      <c r="D23" s="73">
        <f t="shared" si="1"/>
        <v>1633.0135280720012</v>
      </c>
      <c r="E23" s="73">
        <f t="shared" si="2"/>
        <v>179.63148808792013</v>
      </c>
      <c r="F23" s="73"/>
      <c r="G23" s="73">
        <f t="shared" si="3"/>
        <v>690.05582317073186</v>
      </c>
      <c r="H23" s="73">
        <f t="shared" si="4"/>
        <v>2502.7008393306533</v>
      </c>
      <c r="I23" s="74">
        <f>Смета!$E$21</f>
        <v>0.10000021516836566</v>
      </c>
      <c r="J23" s="73">
        <f t="shared" si="5"/>
        <v>163.30170418005207</v>
      </c>
      <c r="K23" s="73">
        <f t="shared" si="6"/>
        <v>2666.0025435107054</v>
      </c>
      <c r="L23" s="75">
        <f t="shared" si="7"/>
        <v>399.90038152660583</v>
      </c>
      <c r="M23" s="217">
        <f t="shared" si="8"/>
        <v>3065.9029250373114</v>
      </c>
      <c r="N23" s="90"/>
    </row>
    <row r="24" spans="1:14" ht="49.5" customHeight="1" x14ac:dyDescent="0.25">
      <c r="A24" s="216"/>
      <c r="B24" s="218" t="s">
        <v>210</v>
      </c>
      <c r="C24" s="73">
        <v>0</v>
      </c>
      <c r="D24" s="73">
        <f t="shared" si="1"/>
        <v>1633.0135280720012</v>
      </c>
      <c r="E24" s="73">
        <f t="shared" si="2"/>
        <v>179.63148808792013</v>
      </c>
      <c r="F24" s="73"/>
      <c r="G24" s="73">
        <f t="shared" si="3"/>
        <v>690.05582317073186</v>
      </c>
      <c r="H24" s="73">
        <f t="shared" si="4"/>
        <v>2502.7008393306533</v>
      </c>
      <c r="I24" s="74">
        <f>Смета!$E$21</f>
        <v>0.10000021516836566</v>
      </c>
      <c r="J24" s="73">
        <f t="shared" si="5"/>
        <v>163.30170418005207</v>
      </c>
      <c r="K24" s="73">
        <f t="shared" si="6"/>
        <v>2666.0025435107054</v>
      </c>
      <c r="L24" s="75">
        <f t="shared" si="7"/>
        <v>399.90038152660583</v>
      </c>
      <c r="M24" s="217">
        <f t="shared" si="8"/>
        <v>3065.9029250373114</v>
      </c>
      <c r="N24" s="90"/>
    </row>
    <row r="25" spans="1:14" ht="49.5" customHeight="1" x14ac:dyDescent="0.25">
      <c r="A25" s="216"/>
      <c r="B25" s="218" t="s">
        <v>211</v>
      </c>
      <c r="C25" s="73">
        <v>0</v>
      </c>
      <c r="D25" s="73">
        <f t="shared" si="1"/>
        <v>1633.0135280720012</v>
      </c>
      <c r="E25" s="73">
        <f t="shared" si="2"/>
        <v>179.63148808792013</v>
      </c>
      <c r="F25" s="73"/>
      <c r="G25" s="73">
        <f t="shared" si="3"/>
        <v>690.05582317073186</v>
      </c>
      <c r="H25" s="73">
        <f t="shared" si="4"/>
        <v>2502.7008393306533</v>
      </c>
      <c r="I25" s="74">
        <f>Смета!$E$21</f>
        <v>0.10000021516836566</v>
      </c>
      <c r="J25" s="73">
        <f t="shared" si="5"/>
        <v>163.30170418005207</v>
      </c>
      <c r="K25" s="73">
        <f t="shared" si="6"/>
        <v>2666.0025435107054</v>
      </c>
      <c r="L25" s="75">
        <f t="shared" si="7"/>
        <v>399.90038152660583</v>
      </c>
      <c r="M25" s="217">
        <f t="shared" si="8"/>
        <v>3065.9029250373114</v>
      </c>
      <c r="N25" s="90"/>
    </row>
    <row r="26" spans="1:14" ht="49.5" customHeight="1" x14ac:dyDescent="0.25">
      <c r="A26" s="216"/>
      <c r="B26" s="218" t="s">
        <v>212</v>
      </c>
      <c r="C26" s="73">
        <v>0</v>
      </c>
      <c r="D26" s="73">
        <f t="shared" si="1"/>
        <v>1633.0135280720012</v>
      </c>
      <c r="E26" s="73">
        <f t="shared" si="2"/>
        <v>179.63148808792013</v>
      </c>
      <c r="F26" s="73"/>
      <c r="G26" s="73">
        <f t="shared" si="3"/>
        <v>690.05582317073186</v>
      </c>
      <c r="H26" s="73">
        <f t="shared" si="4"/>
        <v>2502.7008393306533</v>
      </c>
      <c r="I26" s="74">
        <f>Смета!$E$21</f>
        <v>0.10000021516836566</v>
      </c>
      <c r="J26" s="73">
        <f t="shared" si="5"/>
        <v>163.30170418005207</v>
      </c>
      <c r="K26" s="73">
        <f t="shared" si="6"/>
        <v>2666.0025435107054</v>
      </c>
      <c r="L26" s="75">
        <f t="shared" si="7"/>
        <v>399.90038152660583</v>
      </c>
      <c r="M26" s="217">
        <f t="shared" si="8"/>
        <v>3065.9029250373114</v>
      </c>
      <c r="N26" s="90"/>
    </row>
    <row r="27" spans="1:14" ht="49.5" customHeight="1" x14ac:dyDescent="0.25">
      <c r="A27" s="216"/>
      <c r="B27" s="218" t="s">
        <v>213</v>
      </c>
      <c r="C27" s="73">
        <v>0</v>
      </c>
      <c r="D27" s="73">
        <f t="shared" si="1"/>
        <v>1633.0135280720012</v>
      </c>
      <c r="E27" s="73">
        <f t="shared" si="2"/>
        <v>179.63148808792013</v>
      </c>
      <c r="F27" s="73"/>
      <c r="G27" s="73">
        <f t="shared" si="3"/>
        <v>690.05582317073186</v>
      </c>
      <c r="H27" s="73">
        <f t="shared" si="4"/>
        <v>2502.7008393306533</v>
      </c>
      <c r="I27" s="74">
        <f>Смета!$E$21</f>
        <v>0.10000021516836566</v>
      </c>
      <c r="J27" s="73">
        <f t="shared" si="5"/>
        <v>163.30170418005207</v>
      </c>
      <c r="K27" s="73">
        <f t="shared" si="6"/>
        <v>2666.0025435107054</v>
      </c>
      <c r="L27" s="75">
        <f t="shared" si="7"/>
        <v>399.90038152660583</v>
      </c>
      <c r="M27" s="217">
        <f t="shared" si="8"/>
        <v>3065.9029250373114</v>
      </c>
      <c r="N27" s="90"/>
    </row>
    <row r="28" spans="1:14" ht="49.5" customHeight="1" x14ac:dyDescent="0.25">
      <c r="A28" s="216"/>
      <c r="B28" s="218" t="s">
        <v>214</v>
      </c>
      <c r="C28" s="73">
        <v>0</v>
      </c>
      <c r="D28" s="73">
        <f t="shared" si="1"/>
        <v>1633.0135280720012</v>
      </c>
      <c r="E28" s="73">
        <f t="shared" si="2"/>
        <v>179.63148808792013</v>
      </c>
      <c r="F28" s="73"/>
      <c r="G28" s="73">
        <f t="shared" si="3"/>
        <v>690.05582317073186</v>
      </c>
      <c r="H28" s="73">
        <f t="shared" si="4"/>
        <v>2502.7008393306533</v>
      </c>
      <c r="I28" s="74">
        <f>Смета!$E$21</f>
        <v>0.10000021516836566</v>
      </c>
      <c r="J28" s="73">
        <f t="shared" si="5"/>
        <v>163.30170418005207</v>
      </c>
      <c r="K28" s="73">
        <f t="shared" si="6"/>
        <v>2666.0025435107054</v>
      </c>
      <c r="L28" s="75">
        <f t="shared" si="7"/>
        <v>399.90038152660583</v>
      </c>
      <c r="M28" s="217">
        <f t="shared" si="8"/>
        <v>3065.9029250373114</v>
      </c>
      <c r="N28" s="90"/>
    </row>
    <row r="29" spans="1:14" ht="49.5" customHeight="1" x14ac:dyDescent="0.25">
      <c r="A29" s="216"/>
      <c r="B29" s="218" t="s">
        <v>215</v>
      </c>
      <c r="C29" s="73">
        <v>0</v>
      </c>
      <c r="D29" s="73">
        <f t="shared" si="1"/>
        <v>1633.0135280720012</v>
      </c>
      <c r="E29" s="73">
        <f t="shared" si="2"/>
        <v>179.63148808792013</v>
      </c>
      <c r="F29" s="73"/>
      <c r="G29" s="73">
        <f t="shared" si="3"/>
        <v>690.05582317073186</v>
      </c>
      <c r="H29" s="73">
        <f t="shared" si="4"/>
        <v>2502.7008393306533</v>
      </c>
      <c r="I29" s="74">
        <f>Смета!$E$21</f>
        <v>0.10000021516836566</v>
      </c>
      <c r="J29" s="73">
        <f t="shared" si="5"/>
        <v>163.30170418005207</v>
      </c>
      <c r="K29" s="73">
        <f t="shared" si="6"/>
        <v>2666.0025435107054</v>
      </c>
      <c r="L29" s="75">
        <f t="shared" si="7"/>
        <v>399.90038152660583</v>
      </c>
      <c r="M29" s="217">
        <f t="shared" si="8"/>
        <v>3065.9029250373114</v>
      </c>
      <c r="N29" s="90"/>
    </row>
    <row r="30" spans="1:14" ht="49.5" customHeight="1" x14ac:dyDescent="0.25">
      <c r="A30" s="216"/>
      <c r="B30" s="218" t="s">
        <v>216</v>
      </c>
      <c r="C30" s="73">
        <v>0</v>
      </c>
      <c r="D30" s="73">
        <f t="shared" si="1"/>
        <v>1633.0135280720012</v>
      </c>
      <c r="E30" s="73">
        <f t="shared" si="2"/>
        <v>179.63148808792013</v>
      </c>
      <c r="F30" s="73"/>
      <c r="G30" s="73">
        <f t="shared" si="3"/>
        <v>690.05582317073186</v>
      </c>
      <c r="H30" s="73">
        <f t="shared" si="4"/>
        <v>2502.7008393306533</v>
      </c>
      <c r="I30" s="74">
        <f>Смета!$E$21</f>
        <v>0.10000021516836566</v>
      </c>
      <c r="J30" s="73">
        <f t="shared" si="5"/>
        <v>163.30170418005207</v>
      </c>
      <c r="K30" s="73">
        <f t="shared" si="6"/>
        <v>2666.0025435107054</v>
      </c>
      <c r="L30" s="75">
        <f t="shared" si="7"/>
        <v>399.90038152660583</v>
      </c>
      <c r="M30" s="217">
        <f t="shared" si="8"/>
        <v>3065.9029250373114</v>
      </c>
      <c r="N30" s="90"/>
    </row>
    <row r="31" spans="1:14" ht="49.5" customHeight="1" x14ac:dyDescent="0.25">
      <c r="A31" s="216"/>
      <c r="B31" s="218" t="s">
        <v>217</v>
      </c>
      <c r="C31" s="73">
        <v>0</v>
      </c>
      <c r="D31" s="73">
        <f t="shared" si="1"/>
        <v>1633.0135280720012</v>
      </c>
      <c r="E31" s="73">
        <f t="shared" si="2"/>
        <v>179.63148808792013</v>
      </c>
      <c r="F31" s="73"/>
      <c r="G31" s="73">
        <f t="shared" si="3"/>
        <v>690.05582317073186</v>
      </c>
      <c r="H31" s="73">
        <f t="shared" si="4"/>
        <v>2502.7008393306533</v>
      </c>
      <c r="I31" s="74">
        <f>Смета!$E$21</f>
        <v>0.10000021516836566</v>
      </c>
      <c r="J31" s="73">
        <f t="shared" si="5"/>
        <v>163.30170418005207</v>
      </c>
      <c r="K31" s="73">
        <f t="shared" si="6"/>
        <v>2666.0025435107054</v>
      </c>
      <c r="L31" s="75">
        <f t="shared" si="7"/>
        <v>399.90038152660583</v>
      </c>
      <c r="M31" s="217">
        <f t="shared" si="8"/>
        <v>3065.9029250373114</v>
      </c>
      <c r="N31" s="90"/>
    </row>
    <row r="32" spans="1:14" ht="49.5" customHeight="1" x14ac:dyDescent="0.25">
      <c r="A32" s="216"/>
      <c r="B32" s="218" t="s">
        <v>218</v>
      </c>
      <c r="C32" s="73">
        <v>0</v>
      </c>
      <c r="D32" s="73">
        <f t="shared" si="1"/>
        <v>1633.0135280720012</v>
      </c>
      <c r="E32" s="73">
        <f t="shared" si="2"/>
        <v>179.63148808792013</v>
      </c>
      <c r="F32" s="73"/>
      <c r="G32" s="73">
        <f t="shared" si="3"/>
        <v>690.05582317073186</v>
      </c>
      <c r="H32" s="73">
        <f t="shared" si="4"/>
        <v>2502.7008393306533</v>
      </c>
      <c r="I32" s="74">
        <f>Смета!$E$21</f>
        <v>0.10000021516836566</v>
      </c>
      <c r="J32" s="73">
        <f t="shared" si="5"/>
        <v>163.30170418005207</v>
      </c>
      <c r="K32" s="73">
        <f t="shared" si="6"/>
        <v>2666.0025435107054</v>
      </c>
      <c r="L32" s="75">
        <f t="shared" si="7"/>
        <v>399.90038152660583</v>
      </c>
      <c r="M32" s="217">
        <f t="shared" si="8"/>
        <v>3065.9029250373114</v>
      </c>
      <c r="N32" s="90"/>
    </row>
    <row r="33" spans="1:14" ht="49.5" customHeight="1" x14ac:dyDescent="0.25">
      <c r="A33" s="216"/>
      <c r="B33" s="218" t="s">
        <v>219</v>
      </c>
      <c r="C33" s="73">
        <v>0</v>
      </c>
      <c r="D33" s="73">
        <f t="shared" si="1"/>
        <v>1633.0135280720012</v>
      </c>
      <c r="E33" s="73">
        <f t="shared" si="2"/>
        <v>179.63148808792013</v>
      </c>
      <c r="F33" s="73"/>
      <c r="G33" s="73">
        <f t="shared" si="3"/>
        <v>690.05582317073186</v>
      </c>
      <c r="H33" s="73">
        <f t="shared" si="4"/>
        <v>2502.7008393306533</v>
      </c>
      <c r="I33" s="74">
        <f>Смета!$E$21</f>
        <v>0.10000021516836566</v>
      </c>
      <c r="J33" s="73">
        <f t="shared" si="5"/>
        <v>163.30170418005207</v>
      </c>
      <c r="K33" s="73">
        <f t="shared" si="6"/>
        <v>2666.0025435107054</v>
      </c>
      <c r="L33" s="75">
        <f t="shared" si="7"/>
        <v>399.90038152660583</v>
      </c>
      <c r="M33" s="217">
        <f t="shared" si="8"/>
        <v>3065.9029250373114</v>
      </c>
      <c r="N33" s="90"/>
    </row>
    <row r="34" spans="1:14" ht="49.5" customHeight="1" x14ac:dyDescent="0.25">
      <c r="A34" s="216"/>
      <c r="B34" s="218" t="s">
        <v>220</v>
      </c>
      <c r="C34" s="73">
        <v>0</v>
      </c>
      <c r="D34" s="73">
        <f t="shared" si="1"/>
        <v>1633.0135280720012</v>
      </c>
      <c r="E34" s="73">
        <f t="shared" si="2"/>
        <v>179.63148808792013</v>
      </c>
      <c r="F34" s="73"/>
      <c r="G34" s="73">
        <f t="shared" si="3"/>
        <v>690.05582317073186</v>
      </c>
      <c r="H34" s="73">
        <f t="shared" si="4"/>
        <v>2502.7008393306533</v>
      </c>
      <c r="I34" s="74">
        <f>Смета!$E$21</f>
        <v>0.10000021516836566</v>
      </c>
      <c r="J34" s="73">
        <f t="shared" si="5"/>
        <v>163.30170418005207</v>
      </c>
      <c r="K34" s="73">
        <f t="shared" si="6"/>
        <v>2666.0025435107054</v>
      </c>
      <c r="L34" s="75">
        <f t="shared" si="7"/>
        <v>399.90038152660583</v>
      </c>
      <c r="M34" s="217">
        <f t="shared" si="8"/>
        <v>3065.9029250373114</v>
      </c>
      <c r="N34" s="90"/>
    </row>
    <row r="35" spans="1:14" ht="49.5" customHeight="1" x14ac:dyDescent="0.25">
      <c r="A35" s="216"/>
      <c r="B35" s="218" t="s">
        <v>221</v>
      </c>
      <c r="C35" s="73">
        <v>0</v>
      </c>
      <c r="D35" s="73">
        <f t="shared" si="1"/>
        <v>1633.0135280720012</v>
      </c>
      <c r="E35" s="73">
        <f t="shared" si="2"/>
        <v>179.63148808792013</v>
      </c>
      <c r="F35" s="73"/>
      <c r="G35" s="73">
        <f t="shared" si="3"/>
        <v>690.05582317073186</v>
      </c>
      <c r="H35" s="73">
        <f t="shared" si="4"/>
        <v>2502.7008393306533</v>
      </c>
      <c r="I35" s="74">
        <f>Смета!$E$21</f>
        <v>0.10000021516836566</v>
      </c>
      <c r="J35" s="73">
        <f t="shared" si="5"/>
        <v>163.30170418005207</v>
      </c>
      <c r="K35" s="73">
        <f t="shared" si="6"/>
        <v>2666.0025435107054</v>
      </c>
      <c r="L35" s="75">
        <f t="shared" si="7"/>
        <v>399.90038152660583</v>
      </c>
      <c r="M35" s="217">
        <f t="shared" si="8"/>
        <v>3065.9029250373114</v>
      </c>
      <c r="N35" s="90"/>
    </row>
    <row r="36" spans="1:14" x14ac:dyDescent="0.25">
      <c r="A36" s="107"/>
      <c r="B36" s="108"/>
      <c r="C36" s="109"/>
      <c r="D36" s="109"/>
      <c r="E36" s="109"/>
      <c r="F36" s="109"/>
      <c r="G36" s="109"/>
      <c r="H36" s="109"/>
      <c r="I36" s="109"/>
      <c r="J36" s="109"/>
      <c r="K36" s="109"/>
      <c r="L36" s="90"/>
      <c r="M36" s="90"/>
      <c r="N36" s="90"/>
    </row>
    <row r="37" spans="1:14" ht="18.75" x14ac:dyDescent="0.25">
      <c r="A37" s="318" t="s">
        <v>26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</row>
    <row r="38" spans="1:14" ht="15.75" thickBot="1" x14ac:dyDescent="0.3">
      <c r="A38" s="38"/>
      <c r="B38" s="39"/>
      <c r="C38" s="40"/>
      <c r="D38" s="40"/>
      <c r="E38" s="41"/>
      <c r="F38" s="41"/>
      <c r="G38" s="40"/>
      <c r="H38" s="41"/>
      <c r="I38" s="42"/>
      <c r="J38" s="41"/>
      <c r="K38" s="41"/>
    </row>
    <row r="39" spans="1:14" ht="51.75" thickBot="1" x14ac:dyDescent="0.3">
      <c r="A39" s="43" t="s">
        <v>7</v>
      </c>
      <c r="B39" s="44" t="s">
        <v>27</v>
      </c>
      <c r="C39" s="44" t="s">
        <v>28</v>
      </c>
      <c r="D39" s="44" t="s">
        <v>29</v>
      </c>
      <c r="E39" s="45" t="s">
        <v>30</v>
      </c>
      <c r="F39" s="44" t="s">
        <v>31</v>
      </c>
    </row>
    <row r="40" spans="1:14" ht="15.75" thickBot="1" x14ac:dyDescent="0.3">
      <c r="A40" s="220"/>
      <c r="B40" s="221"/>
      <c r="C40" s="222"/>
      <c r="D40" s="223"/>
      <c r="E40" s="224"/>
      <c r="F40" s="225"/>
      <c r="G40" s="110"/>
    </row>
    <row r="41" spans="1:14" ht="18.75" x14ac:dyDescent="0.25">
      <c r="A41" s="328" t="s">
        <v>37</v>
      </c>
      <c r="B41" s="328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</row>
    <row r="42" spans="1:14" ht="19.5" thickBot="1" x14ac:dyDescent="0.3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 t="s">
        <v>38</v>
      </c>
    </row>
    <row r="43" spans="1:14" ht="15.75" customHeight="1" thickBot="1" x14ac:dyDescent="0.3">
      <c r="A43" s="319" t="s">
        <v>7</v>
      </c>
      <c r="B43" s="319" t="s">
        <v>39</v>
      </c>
      <c r="C43" s="337" t="s">
        <v>40</v>
      </c>
      <c r="D43" s="337" t="s">
        <v>41</v>
      </c>
      <c r="E43" s="337" t="s">
        <v>102</v>
      </c>
      <c r="F43" s="319" t="s">
        <v>43</v>
      </c>
      <c r="G43" s="340" t="s">
        <v>188</v>
      </c>
      <c r="H43" s="341"/>
      <c r="I43" s="342"/>
      <c r="J43" s="315" t="s">
        <v>44</v>
      </c>
      <c r="K43" s="319" t="s">
        <v>45</v>
      </c>
      <c r="L43" s="319" t="s">
        <v>46</v>
      </c>
      <c r="M43" s="319" t="s">
        <v>47</v>
      </c>
      <c r="N43" s="319" t="s">
        <v>48</v>
      </c>
    </row>
    <row r="44" spans="1:14" ht="15" customHeight="1" x14ac:dyDescent="0.25">
      <c r="A44" s="320"/>
      <c r="B44" s="320"/>
      <c r="C44" s="338"/>
      <c r="D44" s="338"/>
      <c r="E44" s="338"/>
      <c r="F44" s="320"/>
      <c r="G44" s="315" t="s">
        <v>49</v>
      </c>
      <c r="H44" s="315" t="s">
        <v>50</v>
      </c>
      <c r="I44" s="332" t="s">
        <v>187</v>
      </c>
      <c r="J44" s="316"/>
      <c r="K44" s="320"/>
      <c r="L44" s="320"/>
      <c r="M44" s="320"/>
      <c r="N44" s="320"/>
    </row>
    <row r="45" spans="1:14" x14ac:dyDescent="0.25">
      <c r="A45" s="320"/>
      <c r="B45" s="320"/>
      <c r="C45" s="338"/>
      <c r="D45" s="338"/>
      <c r="E45" s="338"/>
      <c r="F45" s="320"/>
      <c r="G45" s="316"/>
      <c r="H45" s="316"/>
      <c r="I45" s="320"/>
      <c r="J45" s="316"/>
      <c r="K45" s="320"/>
      <c r="L45" s="320"/>
      <c r="M45" s="320"/>
      <c r="N45" s="320"/>
    </row>
    <row r="46" spans="1:14" ht="15.75" thickBot="1" x14ac:dyDescent="0.3">
      <c r="A46" s="320"/>
      <c r="B46" s="320"/>
      <c r="C46" s="338"/>
      <c r="D46" s="338"/>
      <c r="E46" s="338"/>
      <c r="F46" s="320"/>
      <c r="G46" s="317"/>
      <c r="H46" s="317"/>
      <c r="I46" s="321"/>
      <c r="J46" s="316"/>
      <c r="K46" s="320"/>
      <c r="L46" s="320"/>
      <c r="M46" s="320"/>
      <c r="N46" s="320"/>
    </row>
    <row r="47" spans="1:14" x14ac:dyDescent="0.25">
      <c r="A47" s="320"/>
      <c r="B47" s="320"/>
      <c r="C47" s="338"/>
      <c r="D47" s="338"/>
      <c r="E47" s="338"/>
      <c r="F47" s="320"/>
      <c r="G47" s="343" t="s">
        <v>19</v>
      </c>
      <c r="H47" s="333" t="s">
        <v>19</v>
      </c>
      <c r="I47" s="335" t="s">
        <v>19</v>
      </c>
      <c r="J47" s="316"/>
      <c r="K47" s="320"/>
      <c r="L47" s="320"/>
      <c r="M47" s="320"/>
      <c r="N47" s="320"/>
    </row>
    <row r="48" spans="1:14" ht="15.75" thickBot="1" x14ac:dyDescent="0.3">
      <c r="A48" s="321"/>
      <c r="B48" s="321"/>
      <c r="C48" s="339"/>
      <c r="D48" s="339"/>
      <c r="E48" s="339"/>
      <c r="F48" s="321"/>
      <c r="G48" s="344"/>
      <c r="H48" s="334"/>
      <c r="I48" s="336"/>
      <c r="J48" s="317"/>
      <c r="K48" s="321"/>
      <c r="L48" s="321"/>
      <c r="M48" s="321"/>
      <c r="N48" s="321"/>
    </row>
    <row r="49" spans="1:14" ht="13.5" customHeight="1" x14ac:dyDescent="0.25">
      <c r="A49" s="111">
        <v>1</v>
      </c>
      <c r="B49" s="112">
        <v>2</v>
      </c>
      <c r="C49" s="113">
        <v>3</v>
      </c>
      <c r="D49" s="113">
        <v>4</v>
      </c>
      <c r="E49" s="113">
        <v>5</v>
      </c>
      <c r="F49" s="113">
        <v>6</v>
      </c>
      <c r="G49" s="113">
        <v>9</v>
      </c>
      <c r="H49" s="113">
        <v>11</v>
      </c>
      <c r="I49" s="51">
        <v>13</v>
      </c>
      <c r="J49" s="114">
        <v>14</v>
      </c>
      <c r="K49" s="114">
        <v>15</v>
      </c>
      <c r="L49" s="114">
        <v>16</v>
      </c>
      <c r="M49" s="113">
        <v>17</v>
      </c>
      <c r="N49" s="115">
        <v>18</v>
      </c>
    </row>
    <row r="50" spans="1:14" x14ac:dyDescent="0.25">
      <c r="A50" s="229">
        <v>1</v>
      </c>
      <c r="B50" s="230" t="s">
        <v>200</v>
      </c>
      <c r="C50" s="229" t="s">
        <v>103</v>
      </c>
      <c r="D50" s="229">
        <v>4.7699999999999996</v>
      </c>
      <c r="E50" s="117">
        <v>17697</v>
      </c>
      <c r="F50" s="117">
        <f>D50*E50*2.02</f>
        <v>170517.67379999999</v>
      </c>
      <c r="G50" s="231"/>
      <c r="H50" s="117">
        <f>E50*150%</f>
        <v>26545.5</v>
      </c>
      <c r="I50" s="117">
        <f>F50*10%</f>
        <v>17051.767380000001</v>
      </c>
      <c r="J50" s="117">
        <f t="shared" ref="J50" si="9">F50+G50+H50+I50</f>
        <v>214114.94117999999</v>
      </c>
      <c r="K50" s="117">
        <f>J50/163.33</f>
        <v>1310.9345569093246</v>
      </c>
      <c r="L50" s="117">
        <f>K50/60</f>
        <v>21.848909281822078</v>
      </c>
      <c r="M50" s="117">
        <v>40</v>
      </c>
      <c r="N50" s="219">
        <f>L50*M50</f>
        <v>873.95637127288308</v>
      </c>
    </row>
    <row r="51" spans="1:14" s="226" customFormat="1" x14ac:dyDescent="0.25">
      <c r="A51" s="229">
        <v>2</v>
      </c>
      <c r="B51" s="230" t="s">
        <v>53</v>
      </c>
      <c r="C51" s="229" t="s">
        <v>106</v>
      </c>
      <c r="D51" s="229">
        <v>3.53</v>
      </c>
      <c r="E51" s="117">
        <v>17697</v>
      </c>
      <c r="F51" s="117">
        <f>D51*E51*1.63</f>
        <v>101826.76829999998</v>
      </c>
      <c r="G51" s="231"/>
      <c r="H51" s="117">
        <f>E51*100%</f>
        <v>17697</v>
      </c>
      <c r="I51" s="117">
        <f>F51*10%</f>
        <v>10182.676829999999</v>
      </c>
      <c r="J51" s="117">
        <f>F51+G51+H51+I51</f>
        <v>129706.44512999998</v>
      </c>
      <c r="K51" s="117">
        <f>J51/163.33</f>
        <v>794.13729951631649</v>
      </c>
      <c r="L51" s="117">
        <f>K51/60</f>
        <v>13.235621658605275</v>
      </c>
      <c r="M51" s="117">
        <v>40</v>
      </c>
      <c r="N51" s="219">
        <f>L51*M51</f>
        <v>529.42486634421107</v>
      </c>
    </row>
    <row r="52" spans="1:14" ht="15.75" thickBot="1" x14ac:dyDescent="0.3">
      <c r="A52" s="234">
        <v>3</v>
      </c>
      <c r="B52" s="235" t="s">
        <v>186</v>
      </c>
      <c r="C52" s="234" t="s">
        <v>103</v>
      </c>
      <c r="D52" s="234">
        <v>2.89</v>
      </c>
      <c r="E52" s="236">
        <v>17697</v>
      </c>
      <c r="F52" s="236">
        <f t="shared" ref="F52" si="10">D52*E52</f>
        <v>51144.33</v>
      </c>
      <c r="G52" s="237"/>
      <c r="H52" s="236"/>
      <c r="I52" s="236">
        <f t="shared" ref="I52" si="11">F52*10%</f>
        <v>5114.4330000000009</v>
      </c>
      <c r="J52" s="236">
        <f t="shared" ref="J52" si="12">F52+G52+H52+I52</f>
        <v>56258.763000000006</v>
      </c>
      <c r="K52" s="236">
        <f t="shared" ref="K52" si="13">J52/163.33</f>
        <v>344.44843568236087</v>
      </c>
      <c r="L52" s="236">
        <f t="shared" ref="L52" si="14">K52/60</f>
        <v>5.740807261372681</v>
      </c>
      <c r="M52" s="236">
        <v>40</v>
      </c>
      <c r="N52" s="238">
        <f t="shared" ref="N52" si="15">L52*M52</f>
        <v>229.63229045490723</v>
      </c>
    </row>
    <row r="53" spans="1:14" ht="15.75" thickBot="1" x14ac:dyDescent="0.3">
      <c r="A53" s="329" t="s">
        <v>194</v>
      </c>
      <c r="B53" s="330"/>
      <c r="C53" s="330"/>
      <c r="D53" s="330"/>
      <c r="E53" s="331"/>
      <c r="F53" s="239"/>
      <c r="G53" s="239"/>
      <c r="H53" s="239"/>
      <c r="I53" s="239"/>
      <c r="J53" s="239"/>
      <c r="K53" s="239"/>
      <c r="L53" s="239"/>
      <c r="M53" s="239"/>
      <c r="N53" s="240">
        <f>SUM(N50:N52)</f>
        <v>1633.0135280720012</v>
      </c>
    </row>
    <row r="54" spans="1:14" ht="19.5" thickBot="1" x14ac:dyDescent="0.3">
      <c r="A54" s="322" t="s">
        <v>16</v>
      </c>
      <c r="B54" s="322"/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</row>
    <row r="55" spans="1:14" ht="77.25" thickBot="1" x14ac:dyDescent="0.3">
      <c r="A55" s="3" t="s">
        <v>7</v>
      </c>
      <c r="B55" s="4" t="s">
        <v>55</v>
      </c>
      <c r="C55" s="5" t="s">
        <v>56</v>
      </c>
      <c r="D55" s="6" t="s">
        <v>57</v>
      </c>
      <c r="E55" s="4" t="s">
        <v>58</v>
      </c>
      <c r="F55" s="7" t="s">
        <v>59</v>
      </c>
      <c r="G55" s="8" t="s">
        <v>60</v>
      </c>
      <c r="H55" s="4" t="s">
        <v>61</v>
      </c>
      <c r="I55" s="4" t="s">
        <v>62</v>
      </c>
      <c r="J55" s="9" t="s">
        <v>63</v>
      </c>
      <c r="K55" s="10" t="s">
        <v>64</v>
      </c>
      <c r="L55" s="11" t="s">
        <v>65</v>
      </c>
    </row>
    <row r="56" spans="1:14" ht="51" x14ac:dyDescent="0.25">
      <c r="A56" s="124">
        <v>1</v>
      </c>
      <c r="B56" s="243" t="s">
        <v>201</v>
      </c>
      <c r="C56" s="91">
        <v>1</v>
      </c>
      <c r="D56" s="92">
        <v>2021</v>
      </c>
      <c r="E56" s="93">
        <v>22633831</v>
      </c>
      <c r="F56" s="93">
        <f>E56*0%</f>
        <v>0</v>
      </c>
      <c r="G56" s="136">
        <v>0.1</v>
      </c>
      <c r="H56" s="93">
        <f>E56-F56</f>
        <v>22633831</v>
      </c>
      <c r="I56" s="93">
        <f>H56*G56/100</f>
        <v>22633.831000000002</v>
      </c>
      <c r="J56" s="93">
        <f>I56/1968</f>
        <v>11.500930386178863</v>
      </c>
      <c r="K56" s="93">
        <v>60</v>
      </c>
      <c r="L56" s="126">
        <f>J56*K56</f>
        <v>690.05582317073186</v>
      </c>
    </row>
    <row r="57" spans="1:14" x14ac:dyDescent="0.25">
      <c r="E57" s="141"/>
    </row>
    <row r="58" spans="1:14" ht="18.75" x14ac:dyDescent="0.3">
      <c r="B58" s="130"/>
      <c r="C58" s="131"/>
      <c r="D58" s="132"/>
      <c r="E58" s="141"/>
      <c r="G58" s="133"/>
      <c r="H58" s="134"/>
      <c r="J58" s="127"/>
      <c r="K58" s="128"/>
    </row>
    <row r="59" spans="1:14" ht="18.75" x14ac:dyDescent="0.3">
      <c r="B59" s="143" t="s">
        <v>67</v>
      </c>
      <c r="C59" s="143" t="s">
        <v>68</v>
      </c>
      <c r="D59" s="144"/>
      <c r="E59" s="142" t="s">
        <v>69</v>
      </c>
      <c r="F59" s="135"/>
      <c r="G59" s="133"/>
      <c r="H59" s="134"/>
      <c r="J59" s="127"/>
      <c r="K59" s="128"/>
    </row>
    <row r="60" spans="1:14" ht="18.75" x14ac:dyDescent="0.3">
      <c r="B60" s="145"/>
      <c r="C60" s="143"/>
      <c r="D60" s="144"/>
      <c r="E60" s="142"/>
      <c r="F60" s="135"/>
      <c r="G60" s="133"/>
      <c r="H60" s="134"/>
      <c r="J60" s="127"/>
      <c r="K60" s="128"/>
    </row>
    <row r="61" spans="1:14" ht="18.75" x14ac:dyDescent="0.3">
      <c r="B61" s="145" t="s">
        <v>70</v>
      </c>
      <c r="C61" s="143" t="s">
        <v>68</v>
      </c>
      <c r="D61" s="144"/>
      <c r="E61" s="135" t="s">
        <v>71</v>
      </c>
      <c r="F61" s="144"/>
      <c r="G61" s="133"/>
      <c r="H61" s="134"/>
      <c r="J61" s="127"/>
      <c r="K61" s="128"/>
    </row>
    <row r="62" spans="1:14" ht="15.75" x14ac:dyDescent="0.25">
      <c r="B62" s="145"/>
      <c r="C62" s="135"/>
      <c r="D62" s="135"/>
      <c r="E62" s="135"/>
      <c r="F62" s="135"/>
    </row>
    <row r="63" spans="1:14" ht="15.75" x14ac:dyDescent="0.25">
      <c r="B63" s="135"/>
      <c r="C63" s="143"/>
      <c r="D63" s="135"/>
      <c r="E63" s="135"/>
      <c r="F63" s="135"/>
    </row>
    <row r="64" spans="1:14" ht="15.75" x14ac:dyDescent="0.25">
      <c r="B64" s="135"/>
      <c r="C64" s="129"/>
      <c r="D64" s="129"/>
      <c r="E64" s="129"/>
    </row>
  </sheetData>
  <mergeCells count="42">
    <mergeCell ref="A8:N8"/>
    <mergeCell ref="H1:N1"/>
    <mergeCell ref="H2:N2"/>
    <mergeCell ref="H3:N3"/>
    <mergeCell ref="H4:N4"/>
    <mergeCell ref="H5:N5"/>
    <mergeCell ref="A9:N9"/>
    <mergeCell ref="A10:N10"/>
    <mergeCell ref="A12:A14"/>
    <mergeCell ref="B12:B14"/>
    <mergeCell ref="C12:H12"/>
    <mergeCell ref="I12:J12"/>
    <mergeCell ref="K12:K14"/>
    <mergeCell ref="L12:L14"/>
    <mergeCell ref="M12:M14"/>
    <mergeCell ref="D13:F13"/>
    <mergeCell ref="H13:H14"/>
    <mergeCell ref="I13:I14"/>
    <mergeCell ref="J13:J14"/>
    <mergeCell ref="G13:G14"/>
    <mergeCell ref="A37:N37"/>
    <mergeCell ref="A41:N41"/>
    <mergeCell ref="C43:C48"/>
    <mergeCell ref="D43:D48"/>
    <mergeCell ref="E43:E48"/>
    <mergeCell ref="F43:F48"/>
    <mergeCell ref="H47:H48"/>
    <mergeCell ref="I47:I48"/>
    <mergeCell ref="A53:E53"/>
    <mergeCell ref="A54:N54"/>
    <mergeCell ref="G43:I43"/>
    <mergeCell ref="J43:J48"/>
    <mergeCell ref="K43:K48"/>
    <mergeCell ref="L43:L48"/>
    <mergeCell ref="M43:M48"/>
    <mergeCell ref="N43:N48"/>
    <mergeCell ref="G44:G46"/>
    <mergeCell ref="H44:H46"/>
    <mergeCell ref="I44:I46"/>
    <mergeCell ref="G47:G48"/>
    <mergeCell ref="A43:A48"/>
    <mergeCell ref="B43:B48"/>
  </mergeCells>
  <pageMargins left="0" right="0" top="0" bottom="0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Смета</vt:lpstr>
      <vt:lpstr>КТ</vt:lpstr>
      <vt:lpstr>Справка</vt:lpstr>
      <vt:lpstr>РЭС</vt:lpstr>
      <vt:lpstr>Лист1</vt:lpstr>
      <vt:lpstr>ФГДС</vt:lpstr>
      <vt:lpstr>Консультация</vt:lpstr>
      <vt:lpstr>Кардио</vt:lpstr>
      <vt:lpstr>УЗИ</vt:lpstr>
      <vt:lpstr>рентген</vt:lpstr>
      <vt:lpstr>Лист2</vt:lpstr>
      <vt:lpstr>Лист3</vt:lpstr>
      <vt:lpstr>Лист4</vt:lpstr>
      <vt:lpstr>Лист5</vt:lpstr>
      <vt:lpstr>Лист6</vt:lpstr>
      <vt:lpstr>бикс</vt:lpstr>
      <vt:lpstr>Лист7</vt:lpstr>
      <vt:lpstr>Лист8</vt:lpstr>
      <vt:lpstr>Лист9</vt:lpstr>
      <vt:lpstr>Лист10</vt:lpstr>
      <vt:lpstr>Лист11</vt:lpstr>
      <vt:lpstr>КТ!Область_печати</vt:lpstr>
      <vt:lpstr>Лист2!Область_печати</vt:lpstr>
      <vt:lpstr>рентген!Область_печати</vt:lpstr>
      <vt:lpstr>ФГДС!Область_печати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Нурбек</dc:creator>
  <cp:lastModifiedBy>User</cp:lastModifiedBy>
  <cp:lastPrinted>2025-04-17T05:15:20Z</cp:lastPrinted>
  <dcterms:created xsi:type="dcterms:W3CDTF">2019-01-22T05:54:33Z</dcterms:created>
  <dcterms:modified xsi:type="dcterms:W3CDTF">2025-04-17T06:51:52Z</dcterms:modified>
</cp:coreProperties>
</file>